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6225" tabRatio="915"/>
  </bookViews>
  <sheets>
    <sheet name="1- Export" sheetId="1" r:id="rId1"/>
    <sheet name="Grafiek export suiker en koffie" sheetId="4" r:id="rId2"/>
    <sheet name="2- Prijzen" sheetId="5" r:id="rId3"/>
    <sheet name="Grafiek prijzen suiker" sheetId="6" r:id="rId4"/>
    <sheet name="3- Gelderblom Suiker 17e e" sheetId="8" r:id="rId5"/>
    <sheet name="4- Gelderblom Import Suiker 17e" sheetId="9" r:id="rId6"/>
    <sheet name="5- Opbrengst" sheetId="7" r:id="rId7"/>
    <sheet name="Grafiek Opbrengst Suiker" sheetId="10" r:id="rId8"/>
    <sheet name="Grafiek Opbrengst Koffie" sheetId="11" r:id="rId9"/>
    <sheet name="Oxhoofd - kg" sheetId="2" r:id="rId10"/>
  </sheets>
  <externalReferences>
    <externalReference r:id="rId11"/>
  </externalReferences>
  <calcPr calcId="145621"/>
</workbook>
</file>

<file path=xl/calcChain.xml><?xml version="1.0" encoding="utf-8"?>
<calcChain xmlns="http://schemas.openxmlformats.org/spreadsheetml/2006/main">
  <c r="V8" i="7" l="1"/>
  <c r="V9" i="7" l="1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CJ126" i="9"/>
  <c r="CJ127" i="9" s="1"/>
  <c r="BS125" i="9"/>
  <c r="AO125" i="9"/>
  <c r="U125" i="9"/>
  <c r="M125" i="9"/>
  <c r="F125" i="9"/>
  <c r="BS124" i="9"/>
  <c r="AV124" i="9"/>
  <c r="AO124" i="9"/>
  <c r="U124" i="9"/>
  <c r="M124" i="9"/>
  <c r="F124" i="9"/>
  <c r="BS123" i="9"/>
  <c r="AV123" i="9"/>
  <c r="AO123" i="9"/>
  <c r="U123" i="9"/>
  <c r="M123" i="9"/>
  <c r="F123" i="9"/>
  <c r="BS122" i="9"/>
  <c r="AO122" i="9"/>
  <c r="U122" i="9"/>
  <c r="M122" i="9"/>
  <c r="F122" i="9"/>
  <c r="BS121" i="9"/>
  <c r="AO121" i="9"/>
  <c r="U121" i="9"/>
  <c r="M121" i="9"/>
  <c r="F121" i="9"/>
  <c r="BS120" i="9"/>
  <c r="AO120" i="9"/>
  <c r="U120" i="9"/>
  <c r="M120" i="9"/>
  <c r="F120" i="9"/>
  <c r="BS119" i="9"/>
  <c r="AO119" i="9"/>
  <c r="U119" i="9"/>
  <c r="M119" i="9"/>
  <c r="F119" i="9"/>
  <c r="BS118" i="9"/>
  <c r="AO118" i="9"/>
  <c r="U118" i="9"/>
  <c r="M118" i="9"/>
  <c r="F118" i="9"/>
  <c r="BS117" i="9"/>
  <c r="AO117" i="9"/>
  <c r="U117" i="9"/>
  <c r="M117" i="9"/>
  <c r="F117" i="9"/>
  <c r="BS116" i="9"/>
  <c r="AO116" i="9"/>
  <c r="U116" i="9"/>
  <c r="M116" i="9"/>
  <c r="F116" i="9"/>
  <c r="BS115" i="9"/>
  <c r="AO115" i="9"/>
  <c r="U115" i="9"/>
  <c r="M115" i="9"/>
  <c r="F115" i="9"/>
  <c r="BS114" i="9"/>
  <c r="AO114" i="9"/>
  <c r="U114" i="9"/>
  <c r="M114" i="9"/>
  <c r="F114" i="9"/>
  <c r="CK113" i="9"/>
  <c r="BS113" i="9"/>
  <c r="AO113" i="9"/>
  <c r="U113" i="9"/>
  <c r="M113" i="9"/>
  <c r="F113" i="9"/>
  <c r="BS112" i="9"/>
  <c r="AO112" i="9"/>
  <c r="U112" i="9"/>
  <c r="M112" i="9"/>
  <c r="F112" i="9"/>
  <c r="CK111" i="9"/>
  <c r="BS111" i="9"/>
  <c r="AO111" i="9"/>
  <c r="U111" i="9"/>
  <c r="M111" i="9"/>
  <c r="F111" i="9"/>
  <c r="CK110" i="9"/>
  <c r="BS110" i="9"/>
  <c r="AO110" i="9"/>
  <c r="U110" i="9"/>
  <c r="M110" i="9"/>
  <c r="F110" i="9"/>
  <c r="CK109" i="9"/>
  <c r="BS109" i="9"/>
  <c r="AO109" i="9"/>
  <c r="U109" i="9"/>
  <c r="M109" i="9"/>
  <c r="F109" i="9"/>
  <c r="CK108" i="9"/>
  <c r="BS108" i="9"/>
  <c r="AO108" i="9"/>
  <c r="U108" i="9"/>
  <c r="M108" i="9"/>
  <c r="F108" i="9"/>
  <c r="AO107" i="9"/>
  <c r="U107" i="9"/>
  <c r="M107" i="9"/>
  <c r="F107" i="9"/>
  <c r="CK106" i="9"/>
  <c r="BZ106" i="9"/>
  <c r="BZ107" i="9" s="1"/>
  <c r="BS106" i="9"/>
  <c r="AO106" i="9"/>
  <c r="U106" i="9"/>
  <c r="M106" i="9"/>
  <c r="F106" i="9"/>
  <c r="CK105" i="9"/>
  <c r="CB105" i="9"/>
  <c r="AO105" i="9"/>
  <c r="U105" i="9"/>
  <c r="M105" i="9"/>
  <c r="F105" i="9"/>
  <c r="AO104" i="9"/>
  <c r="U104" i="9"/>
  <c r="M104" i="9"/>
  <c r="F104" i="9"/>
  <c r="AO103" i="9"/>
  <c r="U103" i="9"/>
  <c r="M103" i="9"/>
  <c r="F103" i="9"/>
  <c r="AO102" i="9"/>
  <c r="U102" i="9"/>
  <c r="M102" i="9"/>
  <c r="F102" i="9"/>
  <c r="AO101" i="9"/>
  <c r="U101" i="9"/>
  <c r="M101" i="9"/>
  <c r="F101" i="9"/>
  <c r="AO100" i="9"/>
  <c r="U100" i="9"/>
  <c r="M100" i="9"/>
  <c r="F100" i="9"/>
  <c r="AO99" i="9"/>
  <c r="U99" i="9"/>
  <c r="M99" i="9"/>
  <c r="F99" i="9"/>
  <c r="AO98" i="9"/>
  <c r="U98" i="9"/>
  <c r="M98" i="9"/>
  <c r="F98" i="9"/>
  <c r="CF97" i="9"/>
  <c r="AO97" i="9"/>
  <c r="U97" i="9"/>
  <c r="M97" i="9"/>
  <c r="F97" i="9"/>
  <c r="CF96" i="9"/>
  <c r="AO96" i="9"/>
  <c r="U96" i="9"/>
  <c r="M96" i="9"/>
  <c r="F96" i="9"/>
  <c r="CF95" i="9"/>
  <c r="AO95" i="9"/>
  <c r="U95" i="9"/>
  <c r="M95" i="9"/>
  <c r="F95" i="9"/>
  <c r="CF94" i="9"/>
  <c r="BZ94" i="9"/>
  <c r="BZ95" i="9" s="1"/>
  <c r="AO94" i="9"/>
  <c r="U94" i="9"/>
  <c r="M94" i="9"/>
  <c r="F94" i="9"/>
  <c r="CF93" i="9"/>
  <c r="CB93" i="9"/>
  <c r="BX93" i="9"/>
  <c r="AO93" i="9"/>
  <c r="U93" i="9"/>
  <c r="M93" i="9"/>
  <c r="F93" i="9"/>
  <c r="CF92" i="9"/>
  <c r="AO92" i="9"/>
  <c r="U92" i="9"/>
  <c r="M92" i="9"/>
  <c r="F92" i="9"/>
  <c r="CF91" i="9"/>
  <c r="AO91" i="9"/>
  <c r="U91" i="9"/>
  <c r="M91" i="9"/>
  <c r="F91" i="9"/>
  <c r="CF90" i="9"/>
  <c r="AO90" i="9"/>
  <c r="U90" i="9"/>
  <c r="M90" i="9"/>
  <c r="F90" i="9"/>
  <c r="CF89" i="9"/>
  <c r="AO89" i="9"/>
  <c r="U89" i="9"/>
  <c r="M89" i="9"/>
  <c r="F89" i="9"/>
  <c r="CF88" i="9"/>
  <c r="AO88" i="9"/>
  <c r="U88" i="9"/>
  <c r="M88" i="9"/>
  <c r="F88" i="9"/>
  <c r="CF87" i="9"/>
  <c r="BZ87" i="9"/>
  <c r="BZ88" i="9" s="1"/>
  <c r="AO87" i="9"/>
  <c r="U87" i="9"/>
  <c r="M87" i="9"/>
  <c r="F87" i="9"/>
  <c r="CF86" i="9"/>
  <c r="CB86" i="9"/>
  <c r="AO86" i="9"/>
  <c r="U86" i="9"/>
  <c r="M86" i="9"/>
  <c r="F86" i="9"/>
  <c r="CF85" i="9"/>
  <c r="CB85" i="9"/>
  <c r="AO85" i="9"/>
  <c r="U85" i="9"/>
  <c r="M85" i="9"/>
  <c r="F85" i="9"/>
  <c r="CF84" i="9"/>
  <c r="CB84" i="9"/>
  <c r="AO84" i="9"/>
  <c r="U84" i="9"/>
  <c r="M84" i="9"/>
  <c r="F84" i="9"/>
  <c r="CF83" i="9"/>
  <c r="CB83" i="9"/>
  <c r="AO83" i="9"/>
  <c r="U83" i="9"/>
  <c r="M83" i="9"/>
  <c r="F83" i="9"/>
  <c r="CF82" i="9"/>
  <c r="CB82" i="9"/>
  <c r="AO82" i="9"/>
  <c r="U82" i="9"/>
  <c r="M82" i="9"/>
  <c r="F82" i="9"/>
  <c r="CF81" i="9"/>
  <c r="CB81" i="9"/>
  <c r="BD81" i="9"/>
  <c r="AO81" i="9"/>
  <c r="U81" i="9"/>
  <c r="M81" i="9"/>
  <c r="F81" i="9"/>
  <c r="CF80" i="9"/>
  <c r="CB80" i="9"/>
  <c r="AO80" i="9"/>
  <c r="U80" i="9"/>
  <c r="M80" i="9"/>
  <c r="F80" i="9"/>
  <c r="CF79" i="9"/>
  <c r="CB79" i="9"/>
  <c r="AO79" i="9"/>
  <c r="U79" i="9"/>
  <c r="M79" i="9"/>
  <c r="F79" i="9"/>
  <c r="CF78" i="9"/>
  <c r="CB78" i="9"/>
  <c r="BD78" i="9"/>
  <c r="AO78" i="9"/>
  <c r="U78" i="9"/>
  <c r="M78" i="9"/>
  <c r="F78" i="9"/>
  <c r="CF77" i="9"/>
  <c r="CB77" i="9"/>
  <c r="BE77" i="9"/>
  <c r="AO77" i="9"/>
  <c r="U77" i="9"/>
  <c r="M77" i="9"/>
  <c r="F77" i="9"/>
  <c r="CF76" i="9"/>
  <c r="CB76" i="9"/>
  <c r="BD76" i="9"/>
  <c r="AO76" i="9"/>
  <c r="M76" i="9"/>
  <c r="F76" i="9"/>
  <c r="CF75" i="9"/>
  <c r="CB75" i="9"/>
  <c r="BD75" i="9"/>
  <c r="AO75" i="9"/>
  <c r="M75" i="9"/>
  <c r="F75" i="9"/>
  <c r="CF74" i="9"/>
  <c r="AO74" i="9"/>
  <c r="M74" i="9"/>
  <c r="F74" i="9"/>
  <c r="CF73" i="9"/>
  <c r="BD73" i="9"/>
  <c r="AF73" i="9"/>
  <c r="AN73" i="9" s="1"/>
  <c r="AC73" i="9"/>
  <c r="AM73" i="9" s="1"/>
  <c r="Z73" i="9"/>
  <c r="AL73" i="9" s="1"/>
  <c r="M73" i="9"/>
  <c r="F73" i="9"/>
  <c r="CF72" i="9"/>
  <c r="AF72" i="9"/>
  <c r="AN72" i="9" s="1"/>
  <c r="AC72" i="9"/>
  <c r="AM72" i="9" s="1"/>
  <c r="Z72" i="9"/>
  <c r="AL72" i="9" s="1"/>
  <c r="M72" i="9"/>
  <c r="F72" i="9"/>
  <c r="CF71" i="9"/>
  <c r="BD71" i="9"/>
  <c r="AM71" i="9"/>
  <c r="AL71" i="9"/>
  <c r="M71" i="9"/>
  <c r="F71" i="9"/>
  <c r="CF70" i="9"/>
  <c r="AN70" i="9"/>
  <c r="AM70" i="9"/>
  <c r="AL70" i="9"/>
  <c r="F70" i="9"/>
  <c r="CF69" i="9"/>
  <c r="BD69" i="9"/>
  <c r="AN69" i="9"/>
  <c r="AM69" i="9"/>
  <c r="AL69" i="9"/>
  <c r="M69" i="9"/>
  <c r="F69" i="9"/>
  <c r="CF68" i="9"/>
  <c r="BD68" i="9"/>
  <c r="AN68" i="9"/>
  <c r="AM68" i="9"/>
  <c r="AL68" i="9"/>
  <c r="F68" i="9"/>
  <c r="CF67" i="9"/>
  <c r="BZ67" i="9"/>
  <c r="BZ68" i="9" s="1"/>
  <c r="AN67" i="9"/>
  <c r="AM67" i="9"/>
  <c r="AL67" i="9"/>
  <c r="M67" i="9"/>
  <c r="F67" i="9"/>
  <c r="CF66" i="9"/>
  <c r="CB66" i="9"/>
  <c r="AN66" i="9"/>
  <c r="AM66" i="9"/>
  <c r="AL66" i="9"/>
  <c r="M66" i="9"/>
  <c r="F66" i="9"/>
  <c r="CF65" i="9"/>
  <c r="CB65" i="9"/>
  <c r="BG65" i="9"/>
  <c r="BG66" i="9" s="1"/>
  <c r="M65" i="9"/>
  <c r="F65" i="9"/>
  <c r="CF64" i="9"/>
  <c r="CB64" i="9"/>
  <c r="AN64" i="9"/>
  <c r="AM64" i="9"/>
  <c r="AL64" i="9"/>
  <c r="M64" i="9"/>
  <c r="F64" i="9"/>
  <c r="CF63" i="9"/>
  <c r="CB63" i="9"/>
  <c r="AN63" i="9"/>
  <c r="AM63" i="9"/>
  <c r="AL63" i="9"/>
  <c r="M63" i="9"/>
  <c r="F63" i="9"/>
  <c r="CF62" i="9"/>
  <c r="CB62" i="9"/>
  <c r="M62" i="9"/>
  <c r="F62" i="9"/>
  <c r="CF61" i="9"/>
  <c r="CB61" i="9"/>
  <c r="BD61" i="9"/>
  <c r="AN61" i="9"/>
  <c r="AM61" i="9"/>
  <c r="AL61" i="9"/>
  <c r="M61" i="9"/>
  <c r="F61" i="9"/>
  <c r="CF60" i="9"/>
  <c r="CB60" i="9"/>
  <c r="BD60" i="9"/>
  <c r="M60" i="9"/>
  <c r="F60" i="9"/>
  <c r="CF59" i="9"/>
  <c r="CB59" i="9"/>
  <c r="U59" i="9"/>
  <c r="M59" i="9"/>
  <c r="F59" i="9"/>
  <c r="CF58" i="9"/>
  <c r="CB58" i="9"/>
  <c r="AS58" i="9"/>
  <c r="AO58" i="9"/>
  <c r="U58" i="9"/>
  <c r="M58" i="9"/>
  <c r="F58" i="9"/>
  <c r="CF57" i="9"/>
  <c r="CB57" i="9"/>
  <c r="AS57" i="9"/>
  <c r="AN57" i="9"/>
  <c r="AM57" i="9"/>
  <c r="AL57" i="9"/>
  <c r="U57" i="9"/>
  <c r="M57" i="9"/>
  <c r="F57" i="9"/>
  <c r="CF56" i="9"/>
  <c r="AS56" i="9"/>
  <c r="Z56" i="9"/>
  <c r="U56" i="9"/>
  <c r="M56" i="9"/>
  <c r="CF55" i="9"/>
  <c r="AS55" i="9"/>
  <c r="AO55" i="9"/>
  <c r="U55" i="9"/>
  <c r="M55" i="9"/>
  <c r="CF54" i="9"/>
  <c r="AS54" i="9"/>
  <c r="U54" i="9"/>
  <c r="M54" i="9"/>
  <c r="CF53" i="9"/>
  <c r="AS53" i="9"/>
  <c r="AO53" i="9"/>
  <c r="U53" i="9"/>
  <c r="M53" i="9"/>
  <c r="CF52" i="9"/>
  <c r="AS52" i="9"/>
  <c r="AO52" i="9"/>
  <c r="U52" i="9"/>
  <c r="M52" i="9"/>
  <c r="CF51" i="9"/>
  <c r="AS51" i="9"/>
  <c r="AO51" i="9"/>
  <c r="U51" i="9"/>
  <c r="M51" i="9"/>
  <c r="CF50" i="9"/>
  <c r="AS50" i="9"/>
  <c r="AO50" i="9"/>
  <c r="U50" i="9"/>
  <c r="M50" i="9"/>
  <c r="CF49" i="9"/>
  <c r="AS49" i="9"/>
  <c r="AO49" i="9"/>
  <c r="U49" i="9"/>
  <c r="M49" i="9"/>
  <c r="CF48" i="9"/>
  <c r="BZ48" i="9"/>
  <c r="BZ49" i="9" s="1"/>
  <c r="AO48" i="9"/>
  <c r="AQ50" i="9" s="1"/>
  <c r="U48" i="9"/>
  <c r="M48" i="9"/>
  <c r="CF47" i="9"/>
  <c r="CB47" i="9"/>
  <c r="AO47" i="9"/>
  <c r="U47" i="9"/>
  <c r="M47" i="9"/>
  <c r="BZ46" i="9"/>
  <c r="CB46" i="9" s="1"/>
  <c r="AO46" i="9"/>
  <c r="M46" i="9"/>
  <c r="CB45" i="9"/>
  <c r="AO45" i="9"/>
  <c r="AQ47" i="9" s="1"/>
  <c r="M45" i="9"/>
  <c r="AO44" i="9"/>
  <c r="M44" i="9"/>
  <c r="AO43" i="9"/>
  <c r="M43" i="9"/>
  <c r="AO42" i="9"/>
  <c r="M42" i="9"/>
  <c r="AO41" i="9"/>
  <c r="M41" i="9"/>
  <c r="AO40" i="9"/>
  <c r="M40" i="9"/>
  <c r="AO39" i="9"/>
  <c r="M39" i="9"/>
  <c r="AO38" i="9"/>
  <c r="M38" i="9"/>
  <c r="AO37" i="9"/>
  <c r="M37" i="9"/>
  <c r="AO36" i="9"/>
  <c r="M36" i="9"/>
  <c r="BZ35" i="9"/>
  <c r="BZ36" i="9" s="1"/>
  <c r="AO35" i="9"/>
  <c r="M35" i="9"/>
  <c r="CB34" i="9"/>
  <c r="AO34" i="9"/>
  <c r="M34" i="9"/>
  <c r="CB33" i="9"/>
  <c r="AO33" i="9"/>
  <c r="U33" i="9"/>
  <c r="M33" i="9"/>
  <c r="CB32" i="9"/>
  <c r="AO32" i="9"/>
  <c r="U32" i="9"/>
  <c r="M32" i="9"/>
  <c r="CB31" i="9"/>
  <c r="AO31" i="9"/>
  <c r="U31" i="9"/>
  <c r="M31" i="9"/>
  <c r="CB30" i="9"/>
  <c r="AO30" i="9"/>
  <c r="U30" i="9"/>
  <c r="M30" i="9"/>
  <c r="AO29" i="9"/>
  <c r="U29" i="9"/>
  <c r="M29" i="9"/>
  <c r="AO28" i="9"/>
  <c r="U28" i="9"/>
  <c r="M28" i="9"/>
  <c r="AO27" i="9"/>
  <c r="U27" i="9"/>
  <c r="M27" i="9"/>
  <c r="AO26" i="9"/>
  <c r="U26" i="9"/>
  <c r="M26" i="9"/>
  <c r="AO25" i="9"/>
  <c r="U25" i="9"/>
  <c r="M25" i="9"/>
  <c r="AO24" i="9"/>
  <c r="U24" i="9"/>
  <c r="M24" i="9"/>
  <c r="BZ23" i="9"/>
  <c r="BZ24" i="9" s="1"/>
  <c r="AO23" i="9"/>
  <c r="U23" i="9"/>
  <c r="M23" i="9"/>
  <c r="CB22" i="9"/>
  <c r="AO22" i="9"/>
  <c r="U22" i="9"/>
  <c r="M22" i="9"/>
  <c r="CB21" i="9"/>
  <c r="AO21" i="9"/>
  <c r="U21" i="9"/>
  <c r="M21" i="9"/>
  <c r="CB20" i="9"/>
  <c r="AO20" i="9"/>
  <c r="U20" i="9"/>
  <c r="M20" i="9"/>
  <c r="CB19" i="9"/>
  <c r="AO19" i="9"/>
  <c r="U19" i="9"/>
  <c r="M19" i="9"/>
  <c r="CB18" i="9"/>
  <c r="AO18" i="9"/>
  <c r="U18" i="9"/>
  <c r="M18" i="9"/>
  <c r="CB17" i="9"/>
  <c r="BX17" i="9"/>
  <c r="AO17" i="9"/>
  <c r="U17" i="9"/>
  <c r="M17" i="9"/>
  <c r="CB16" i="9"/>
  <c r="AO16" i="9"/>
  <c r="U16" i="9"/>
  <c r="M16" i="9"/>
  <c r="F16" i="9"/>
  <c r="CB15" i="9"/>
  <c r="AO15" i="9"/>
  <c r="U15" i="9"/>
  <c r="M15" i="9"/>
  <c r="F15" i="9"/>
  <c r="CB14" i="9"/>
  <c r="AO14" i="9"/>
  <c r="U14" i="9"/>
  <c r="M14" i="9"/>
  <c r="F14" i="9"/>
  <c r="CB13" i="9"/>
  <c r="AO13" i="9"/>
  <c r="U13" i="9"/>
  <c r="M13" i="9"/>
  <c r="F13" i="9"/>
  <c r="CB12" i="9"/>
  <c r="AO12" i="9"/>
  <c r="U12" i="9"/>
  <c r="M12" i="9"/>
  <c r="F12" i="9"/>
  <c r="CB11" i="9"/>
  <c r="AO11" i="9"/>
  <c r="U11" i="9"/>
  <c r="M11" i="9"/>
  <c r="F11" i="9"/>
  <c r="CB10" i="9"/>
  <c r="AO10" i="9"/>
  <c r="U10" i="9"/>
  <c r="M10" i="9"/>
  <c r="F10" i="9"/>
  <c r="CB9" i="9"/>
  <c r="AO9" i="9"/>
  <c r="U9" i="9"/>
  <c r="K9" i="9"/>
  <c r="M9" i="9" s="1"/>
  <c r="F9" i="9"/>
  <c r="CB8" i="9"/>
  <c r="AO8" i="9"/>
  <c r="U8" i="9"/>
  <c r="M8" i="9"/>
  <c r="F8" i="9"/>
  <c r="CB7" i="9"/>
  <c r="AO7" i="9"/>
  <c r="U7" i="9"/>
  <c r="M7" i="9"/>
  <c r="F7" i="9"/>
  <c r="CB6" i="9"/>
  <c r="AO6" i="9"/>
  <c r="U6" i="9"/>
  <c r="M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CB5" i="9"/>
  <c r="AO5" i="9"/>
  <c r="U5" i="9"/>
  <c r="M5" i="9"/>
  <c r="F5" i="9"/>
  <c r="AW4" i="9"/>
  <c r="D4" i="9"/>
  <c r="C4" i="9"/>
  <c r="C56" i="9" s="1"/>
  <c r="D56" i="9" s="1"/>
  <c r="E56" i="9" s="1"/>
  <c r="F56" i="9" s="1"/>
  <c r="G58" i="9" s="1"/>
  <c r="AG1" i="9"/>
  <c r="AI71" i="9" s="1"/>
  <c r="R1" i="9"/>
  <c r="L1" i="9"/>
  <c r="L70" i="9" s="1"/>
  <c r="M70" i="9" s="1"/>
  <c r="N27" i="5"/>
  <c r="T27" i="5" s="1"/>
  <c r="N119" i="7" s="1"/>
  <c r="P27" i="5"/>
  <c r="Q27" i="5"/>
  <c r="N28" i="5"/>
  <c r="P28" i="5"/>
  <c r="Q28" i="5"/>
  <c r="N29" i="5"/>
  <c r="T29" i="5" s="1"/>
  <c r="N121" i="7" s="1"/>
  <c r="P29" i="5"/>
  <c r="Q29" i="5"/>
  <c r="N30" i="5"/>
  <c r="T30" i="5" s="1"/>
  <c r="N122" i="7" s="1"/>
  <c r="P30" i="5"/>
  <c r="Q30" i="5"/>
  <c r="N31" i="5"/>
  <c r="T31" i="5" s="1"/>
  <c r="N123" i="7" s="1"/>
  <c r="P31" i="5"/>
  <c r="Q31" i="5"/>
  <c r="N32" i="5"/>
  <c r="P32" i="5"/>
  <c r="Q32" i="5"/>
  <c r="N33" i="5"/>
  <c r="T33" i="5" s="1"/>
  <c r="N125" i="7" s="1"/>
  <c r="P33" i="5"/>
  <c r="Q33" i="5"/>
  <c r="N34" i="5"/>
  <c r="T34" i="5" s="1"/>
  <c r="N126" i="7" s="1"/>
  <c r="P34" i="5"/>
  <c r="Q34" i="5"/>
  <c r="N35" i="5"/>
  <c r="T35" i="5" s="1"/>
  <c r="N127" i="7" s="1"/>
  <c r="P35" i="5"/>
  <c r="Q35" i="5"/>
  <c r="N36" i="5"/>
  <c r="P36" i="5"/>
  <c r="Q36" i="5"/>
  <c r="N37" i="5"/>
  <c r="T37" i="5" s="1"/>
  <c r="N129" i="7" s="1"/>
  <c r="P37" i="5"/>
  <c r="Q37" i="5"/>
  <c r="N38" i="5"/>
  <c r="T38" i="5" s="1"/>
  <c r="N130" i="7" s="1"/>
  <c r="P38" i="5"/>
  <c r="Q38" i="5"/>
  <c r="N39" i="5"/>
  <c r="T39" i="5" s="1"/>
  <c r="N131" i="7" s="1"/>
  <c r="P39" i="5"/>
  <c r="Q39" i="5"/>
  <c r="N40" i="5"/>
  <c r="P40" i="5"/>
  <c r="Q40" i="5"/>
  <c r="N41" i="5"/>
  <c r="T41" i="5" s="1"/>
  <c r="N133" i="7" s="1"/>
  <c r="P41" i="5"/>
  <c r="Q41" i="5"/>
  <c r="N42" i="5"/>
  <c r="T42" i="5" s="1"/>
  <c r="N134" i="7" s="1"/>
  <c r="P42" i="5"/>
  <c r="Q42" i="5"/>
  <c r="N43" i="5"/>
  <c r="T43" i="5" s="1"/>
  <c r="N135" i="7" s="1"/>
  <c r="P43" i="5"/>
  <c r="Q43" i="5"/>
  <c r="N44" i="5"/>
  <c r="P44" i="5"/>
  <c r="Q44" i="5"/>
  <c r="N45" i="5"/>
  <c r="T45" i="5" s="1"/>
  <c r="N137" i="7" s="1"/>
  <c r="P45" i="5"/>
  <c r="Q45" i="5"/>
  <c r="N46" i="5"/>
  <c r="T46" i="5" s="1"/>
  <c r="N138" i="7" s="1"/>
  <c r="O46" i="5"/>
  <c r="P46" i="5"/>
  <c r="Q46" i="5"/>
  <c r="N47" i="5"/>
  <c r="T47" i="5" s="1"/>
  <c r="N139" i="7" s="1"/>
  <c r="O47" i="5"/>
  <c r="P47" i="5"/>
  <c r="Q47" i="5"/>
  <c r="N48" i="5"/>
  <c r="O48" i="5"/>
  <c r="P48" i="5"/>
  <c r="Q48" i="5"/>
  <c r="N49" i="5"/>
  <c r="T49" i="5" s="1"/>
  <c r="N141" i="7" s="1"/>
  <c r="O49" i="5"/>
  <c r="P49" i="5"/>
  <c r="Q49" i="5"/>
  <c r="N50" i="5"/>
  <c r="T50" i="5" s="1"/>
  <c r="N142" i="7" s="1"/>
  <c r="O50" i="5"/>
  <c r="P50" i="5"/>
  <c r="Q50" i="5"/>
  <c r="N51" i="5"/>
  <c r="S51" i="5" s="1"/>
  <c r="M143" i="7" s="1"/>
  <c r="O51" i="5"/>
  <c r="P51" i="5"/>
  <c r="Q51" i="5"/>
  <c r="N52" i="5"/>
  <c r="T52" i="5" s="1"/>
  <c r="N144" i="7" s="1"/>
  <c r="O52" i="5"/>
  <c r="P52" i="5"/>
  <c r="Q52" i="5"/>
  <c r="N53" i="5"/>
  <c r="S53" i="5" s="1"/>
  <c r="M145" i="7" s="1"/>
  <c r="O53" i="5"/>
  <c r="P53" i="5"/>
  <c r="Q53" i="5"/>
  <c r="N54" i="5"/>
  <c r="T54" i="5" s="1"/>
  <c r="N146" i="7" s="1"/>
  <c r="O54" i="5"/>
  <c r="P54" i="5"/>
  <c r="Q54" i="5"/>
  <c r="N55" i="5"/>
  <c r="S55" i="5" s="1"/>
  <c r="M147" i="7" s="1"/>
  <c r="O55" i="5"/>
  <c r="P55" i="5"/>
  <c r="Q55" i="5"/>
  <c r="N56" i="5"/>
  <c r="T56" i="5" s="1"/>
  <c r="N148" i="7" s="1"/>
  <c r="O56" i="5"/>
  <c r="P56" i="5"/>
  <c r="Q56" i="5"/>
  <c r="N57" i="5"/>
  <c r="S57" i="5" s="1"/>
  <c r="M149" i="7" s="1"/>
  <c r="O57" i="5"/>
  <c r="P57" i="5"/>
  <c r="Q57" i="5"/>
  <c r="N58" i="5"/>
  <c r="T58" i="5" s="1"/>
  <c r="N150" i="7" s="1"/>
  <c r="O58" i="5"/>
  <c r="P58" i="5"/>
  <c r="Q58" i="5"/>
  <c r="N59" i="5"/>
  <c r="S59" i="5" s="1"/>
  <c r="M151" i="7" s="1"/>
  <c r="O59" i="5"/>
  <c r="P59" i="5"/>
  <c r="Q59" i="5"/>
  <c r="N60" i="5"/>
  <c r="T60" i="5" s="1"/>
  <c r="N152" i="7" s="1"/>
  <c r="O60" i="5"/>
  <c r="P60" i="5"/>
  <c r="Q60" i="5"/>
  <c r="N61" i="5"/>
  <c r="S61" i="5" s="1"/>
  <c r="M153" i="7" s="1"/>
  <c r="O61" i="5"/>
  <c r="P61" i="5"/>
  <c r="Q61" i="5"/>
  <c r="N62" i="5"/>
  <c r="T62" i="5" s="1"/>
  <c r="N154" i="7" s="1"/>
  <c r="O62" i="5"/>
  <c r="P62" i="5"/>
  <c r="Q62" i="5"/>
  <c r="N63" i="5"/>
  <c r="S63" i="5" s="1"/>
  <c r="M155" i="7" s="1"/>
  <c r="O63" i="5"/>
  <c r="P63" i="5"/>
  <c r="Q63" i="5"/>
  <c r="N64" i="5"/>
  <c r="T64" i="5" s="1"/>
  <c r="N156" i="7" s="1"/>
  <c r="O64" i="5"/>
  <c r="P64" i="5"/>
  <c r="Q64" i="5"/>
  <c r="N65" i="5"/>
  <c r="S65" i="5" s="1"/>
  <c r="M157" i="7" s="1"/>
  <c r="O65" i="5"/>
  <c r="P65" i="5"/>
  <c r="Q65" i="5"/>
  <c r="N66" i="5"/>
  <c r="T66" i="5" s="1"/>
  <c r="N158" i="7" s="1"/>
  <c r="O66" i="5"/>
  <c r="P66" i="5"/>
  <c r="Q66" i="5"/>
  <c r="N67" i="5"/>
  <c r="S67" i="5" s="1"/>
  <c r="M159" i="7" s="1"/>
  <c r="O67" i="5"/>
  <c r="P67" i="5"/>
  <c r="Q67" i="5"/>
  <c r="N68" i="5"/>
  <c r="T68" i="5" s="1"/>
  <c r="N160" i="7" s="1"/>
  <c r="O68" i="5"/>
  <c r="P68" i="5"/>
  <c r="Q68" i="5"/>
  <c r="N69" i="5"/>
  <c r="S69" i="5" s="1"/>
  <c r="M161" i="7" s="1"/>
  <c r="O69" i="5"/>
  <c r="P69" i="5"/>
  <c r="Q69" i="5"/>
  <c r="N70" i="5"/>
  <c r="T70" i="5" s="1"/>
  <c r="N162" i="7" s="1"/>
  <c r="O70" i="5"/>
  <c r="P70" i="5"/>
  <c r="Q70" i="5"/>
  <c r="N71" i="5"/>
  <c r="S71" i="5" s="1"/>
  <c r="M163" i="7" s="1"/>
  <c r="O71" i="5"/>
  <c r="P71" i="5"/>
  <c r="Q71" i="5"/>
  <c r="N72" i="5"/>
  <c r="T72" i="5" s="1"/>
  <c r="N164" i="7" s="1"/>
  <c r="O72" i="5"/>
  <c r="P72" i="5"/>
  <c r="Q72" i="5"/>
  <c r="N73" i="5"/>
  <c r="S73" i="5" s="1"/>
  <c r="M165" i="7" s="1"/>
  <c r="O73" i="5"/>
  <c r="P73" i="5"/>
  <c r="Q73" i="5"/>
  <c r="N74" i="5"/>
  <c r="T74" i="5" s="1"/>
  <c r="N166" i="7" s="1"/>
  <c r="O74" i="5"/>
  <c r="P74" i="5"/>
  <c r="Q74" i="5"/>
  <c r="N75" i="5"/>
  <c r="S75" i="5" s="1"/>
  <c r="M167" i="7" s="1"/>
  <c r="O75" i="5"/>
  <c r="P75" i="5"/>
  <c r="Q75" i="5"/>
  <c r="N76" i="5"/>
  <c r="T76" i="5" s="1"/>
  <c r="N168" i="7" s="1"/>
  <c r="O76" i="5"/>
  <c r="P76" i="5"/>
  <c r="Q76" i="5"/>
  <c r="N77" i="5"/>
  <c r="S77" i="5" s="1"/>
  <c r="M169" i="7" s="1"/>
  <c r="O77" i="5"/>
  <c r="P77" i="5"/>
  <c r="Q77" i="5"/>
  <c r="N78" i="5"/>
  <c r="T78" i="5" s="1"/>
  <c r="N170" i="7" s="1"/>
  <c r="O78" i="5"/>
  <c r="P78" i="5"/>
  <c r="Q78" i="5"/>
  <c r="N79" i="5"/>
  <c r="S79" i="5" s="1"/>
  <c r="M171" i="7" s="1"/>
  <c r="O79" i="5"/>
  <c r="P79" i="5"/>
  <c r="Q79" i="5"/>
  <c r="N80" i="5"/>
  <c r="T80" i="5" s="1"/>
  <c r="N172" i="7" s="1"/>
  <c r="O80" i="5"/>
  <c r="P80" i="5"/>
  <c r="Q80" i="5"/>
  <c r="N81" i="5"/>
  <c r="S81" i="5" s="1"/>
  <c r="M173" i="7" s="1"/>
  <c r="O81" i="5"/>
  <c r="P81" i="5"/>
  <c r="Q81" i="5"/>
  <c r="N82" i="5"/>
  <c r="T82" i="5" s="1"/>
  <c r="N174" i="7" s="1"/>
  <c r="O82" i="5"/>
  <c r="P82" i="5"/>
  <c r="Q82" i="5"/>
  <c r="N83" i="5"/>
  <c r="S83" i="5" s="1"/>
  <c r="M175" i="7" s="1"/>
  <c r="O83" i="5"/>
  <c r="P83" i="5"/>
  <c r="Q83" i="5"/>
  <c r="N84" i="5"/>
  <c r="T84" i="5" s="1"/>
  <c r="N176" i="7" s="1"/>
  <c r="O84" i="5"/>
  <c r="P84" i="5"/>
  <c r="Q84" i="5"/>
  <c r="N85" i="5"/>
  <c r="S85" i="5" s="1"/>
  <c r="M177" i="7" s="1"/>
  <c r="O85" i="5"/>
  <c r="P85" i="5"/>
  <c r="Q85" i="5"/>
  <c r="N86" i="5"/>
  <c r="T86" i="5" s="1"/>
  <c r="N178" i="7" s="1"/>
  <c r="O86" i="5"/>
  <c r="P86" i="5"/>
  <c r="Q86" i="5"/>
  <c r="N87" i="5"/>
  <c r="S87" i="5" s="1"/>
  <c r="M179" i="7" s="1"/>
  <c r="O87" i="5"/>
  <c r="P87" i="5"/>
  <c r="Q87" i="5"/>
  <c r="N88" i="5"/>
  <c r="T88" i="5" s="1"/>
  <c r="N180" i="7" s="1"/>
  <c r="O88" i="5"/>
  <c r="P88" i="5"/>
  <c r="Q88" i="5"/>
  <c r="N89" i="5"/>
  <c r="S89" i="5" s="1"/>
  <c r="M181" i="7" s="1"/>
  <c r="O89" i="5"/>
  <c r="P89" i="5"/>
  <c r="Q89" i="5"/>
  <c r="N90" i="5"/>
  <c r="T90" i="5" s="1"/>
  <c r="N182" i="7" s="1"/>
  <c r="O90" i="5"/>
  <c r="P90" i="5"/>
  <c r="Q90" i="5"/>
  <c r="N91" i="5"/>
  <c r="S91" i="5" s="1"/>
  <c r="M183" i="7" s="1"/>
  <c r="O91" i="5"/>
  <c r="P91" i="5"/>
  <c r="Q91" i="5"/>
  <c r="N92" i="5"/>
  <c r="T92" i="5" s="1"/>
  <c r="N184" i="7" s="1"/>
  <c r="O92" i="5"/>
  <c r="P92" i="5"/>
  <c r="Q92" i="5"/>
  <c r="N93" i="5"/>
  <c r="S93" i="5" s="1"/>
  <c r="M185" i="7" s="1"/>
  <c r="O93" i="5"/>
  <c r="P93" i="5"/>
  <c r="Q93" i="5"/>
  <c r="N94" i="5"/>
  <c r="T94" i="5" s="1"/>
  <c r="N186" i="7" s="1"/>
  <c r="O94" i="5"/>
  <c r="P94" i="5"/>
  <c r="Q94" i="5"/>
  <c r="N95" i="5"/>
  <c r="S95" i="5" s="1"/>
  <c r="M187" i="7" s="1"/>
  <c r="O95" i="5"/>
  <c r="P95" i="5"/>
  <c r="Q95" i="5"/>
  <c r="N96" i="5"/>
  <c r="T96" i="5" s="1"/>
  <c r="N188" i="7" s="1"/>
  <c r="O96" i="5"/>
  <c r="P96" i="5"/>
  <c r="Q96" i="5"/>
  <c r="N97" i="5"/>
  <c r="S97" i="5" s="1"/>
  <c r="M189" i="7" s="1"/>
  <c r="O97" i="5"/>
  <c r="P97" i="5"/>
  <c r="Q97" i="5"/>
  <c r="N98" i="5"/>
  <c r="T98" i="5" s="1"/>
  <c r="N190" i="7" s="1"/>
  <c r="O98" i="5"/>
  <c r="P98" i="5"/>
  <c r="Q98" i="5"/>
  <c r="N99" i="5"/>
  <c r="S99" i="5" s="1"/>
  <c r="M191" i="7" s="1"/>
  <c r="O99" i="5"/>
  <c r="P99" i="5"/>
  <c r="Q99" i="5"/>
  <c r="N100" i="5"/>
  <c r="T100" i="5" s="1"/>
  <c r="N192" i="7" s="1"/>
  <c r="O100" i="5"/>
  <c r="P100" i="5"/>
  <c r="Q100" i="5"/>
  <c r="N101" i="5"/>
  <c r="S101" i="5" s="1"/>
  <c r="M193" i="7" s="1"/>
  <c r="O101" i="5"/>
  <c r="P101" i="5"/>
  <c r="Q101" i="5"/>
  <c r="N102" i="5"/>
  <c r="T102" i="5" s="1"/>
  <c r="N194" i="7" s="1"/>
  <c r="O102" i="5"/>
  <c r="P102" i="5"/>
  <c r="Q102" i="5"/>
  <c r="N103" i="5"/>
  <c r="S103" i="5" s="1"/>
  <c r="M195" i="7" s="1"/>
  <c r="O103" i="5"/>
  <c r="P103" i="5"/>
  <c r="Q103" i="5"/>
  <c r="N104" i="5"/>
  <c r="T104" i="5" s="1"/>
  <c r="N196" i="7" s="1"/>
  <c r="O104" i="5"/>
  <c r="P104" i="5"/>
  <c r="Q104" i="5"/>
  <c r="N105" i="5"/>
  <c r="S105" i="5" s="1"/>
  <c r="M197" i="7" s="1"/>
  <c r="O105" i="5"/>
  <c r="P105" i="5"/>
  <c r="Q105" i="5"/>
  <c r="N106" i="5"/>
  <c r="T106" i="5" s="1"/>
  <c r="N198" i="7" s="1"/>
  <c r="O106" i="5"/>
  <c r="P106" i="5"/>
  <c r="Q106" i="5"/>
  <c r="N107" i="5"/>
  <c r="S107" i="5" s="1"/>
  <c r="M199" i="7" s="1"/>
  <c r="O107" i="5"/>
  <c r="P107" i="5"/>
  <c r="Q107" i="5"/>
  <c r="N108" i="5"/>
  <c r="T108" i="5" s="1"/>
  <c r="N200" i="7" s="1"/>
  <c r="O108" i="5"/>
  <c r="P108" i="5"/>
  <c r="Q108" i="5"/>
  <c r="N109" i="5"/>
  <c r="S109" i="5" s="1"/>
  <c r="M201" i="7" s="1"/>
  <c r="O109" i="5"/>
  <c r="P109" i="5"/>
  <c r="Q109" i="5"/>
  <c r="N110" i="5"/>
  <c r="T110" i="5" s="1"/>
  <c r="N202" i="7" s="1"/>
  <c r="O110" i="5"/>
  <c r="P110" i="5"/>
  <c r="Q110" i="5"/>
  <c r="N111" i="5"/>
  <c r="S111" i="5" s="1"/>
  <c r="M203" i="7" s="1"/>
  <c r="O111" i="5"/>
  <c r="P111" i="5"/>
  <c r="Q111" i="5"/>
  <c r="N112" i="5"/>
  <c r="T112" i="5" s="1"/>
  <c r="N204" i="7" s="1"/>
  <c r="O112" i="5"/>
  <c r="P112" i="5"/>
  <c r="Q112" i="5"/>
  <c r="N113" i="5"/>
  <c r="S113" i="5" s="1"/>
  <c r="M205" i="7" s="1"/>
  <c r="O113" i="5"/>
  <c r="P113" i="5"/>
  <c r="Q113" i="5"/>
  <c r="N114" i="5"/>
  <c r="T114" i="5" s="1"/>
  <c r="N206" i="7" s="1"/>
  <c r="O114" i="5"/>
  <c r="P114" i="5"/>
  <c r="Q114" i="5"/>
  <c r="N115" i="5"/>
  <c r="S115" i="5" s="1"/>
  <c r="M207" i="7" s="1"/>
  <c r="O115" i="5"/>
  <c r="P115" i="5"/>
  <c r="Q115" i="5"/>
  <c r="N116" i="5"/>
  <c r="T116" i="5" s="1"/>
  <c r="N208" i="7" s="1"/>
  <c r="O116" i="5"/>
  <c r="P116" i="5"/>
  <c r="Q116" i="5"/>
  <c r="N117" i="5"/>
  <c r="S117" i="5" s="1"/>
  <c r="M209" i="7" s="1"/>
  <c r="O117" i="5"/>
  <c r="P117" i="5"/>
  <c r="Q117" i="5"/>
  <c r="N118" i="5"/>
  <c r="T118" i="5" s="1"/>
  <c r="N210" i="7" s="1"/>
  <c r="O118" i="5"/>
  <c r="P118" i="5"/>
  <c r="Q118" i="5"/>
  <c r="N119" i="5"/>
  <c r="S119" i="5" s="1"/>
  <c r="M211" i="7" s="1"/>
  <c r="O119" i="5"/>
  <c r="P119" i="5"/>
  <c r="Q119" i="5"/>
  <c r="N120" i="5"/>
  <c r="T120" i="5" s="1"/>
  <c r="N212" i="7" s="1"/>
  <c r="O120" i="5"/>
  <c r="P120" i="5"/>
  <c r="Q120" i="5"/>
  <c r="Q26" i="5"/>
  <c r="P26" i="5"/>
  <c r="N26" i="5"/>
  <c r="T26" i="5" s="1"/>
  <c r="N118" i="7" s="1"/>
  <c r="N10" i="5"/>
  <c r="N11" i="5"/>
  <c r="N12" i="5"/>
  <c r="N13" i="5"/>
  <c r="N14" i="5"/>
  <c r="N15" i="5"/>
  <c r="N16" i="5"/>
  <c r="N17" i="5"/>
  <c r="N18" i="5"/>
  <c r="N19" i="5"/>
  <c r="T19" i="5" s="1"/>
  <c r="N111" i="7" s="1"/>
  <c r="N20" i="5"/>
  <c r="N21" i="5"/>
  <c r="T21" i="5" s="1"/>
  <c r="N113" i="7" s="1"/>
  <c r="N22" i="5"/>
  <c r="N23" i="5"/>
  <c r="T23" i="5" s="1"/>
  <c r="N115" i="7" s="1"/>
  <c r="N24" i="5"/>
  <c r="N25" i="5"/>
  <c r="T25" i="5" s="1"/>
  <c r="N117" i="7" s="1"/>
  <c r="N9" i="5"/>
  <c r="U9" i="5" s="1"/>
  <c r="H146" i="5"/>
  <c r="G146" i="5"/>
  <c r="F146" i="5"/>
  <c r="H145" i="5"/>
  <c r="G145" i="5"/>
  <c r="F145" i="5"/>
  <c r="H144" i="5"/>
  <c r="G144" i="5"/>
  <c r="F144" i="5"/>
  <c r="G143" i="5"/>
  <c r="F143" i="5"/>
  <c r="G142" i="5"/>
  <c r="F142" i="5"/>
  <c r="H120" i="5"/>
  <c r="G120" i="5"/>
  <c r="X120" i="5" s="1"/>
  <c r="Q212" i="7" s="1"/>
  <c r="F120" i="5"/>
  <c r="H119" i="5"/>
  <c r="G119" i="5"/>
  <c r="X119" i="5" s="1"/>
  <c r="Q211" i="7" s="1"/>
  <c r="F119" i="5"/>
  <c r="H118" i="5"/>
  <c r="G118" i="5"/>
  <c r="X118" i="5" s="1"/>
  <c r="Q210" i="7" s="1"/>
  <c r="F118" i="5"/>
  <c r="H117" i="5"/>
  <c r="G117" i="5"/>
  <c r="X117" i="5" s="1"/>
  <c r="Q209" i="7" s="1"/>
  <c r="F117" i="5"/>
  <c r="H116" i="5"/>
  <c r="G116" i="5"/>
  <c r="X116" i="5" s="1"/>
  <c r="Q208" i="7" s="1"/>
  <c r="F116" i="5"/>
  <c r="H115" i="5"/>
  <c r="G115" i="5"/>
  <c r="X115" i="5" s="1"/>
  <c r="Q207" i="7" s="1"/>
  <c r="F115" i="5"/>
  <c r="H114" i="5"/>
  <c r="G114" i="5"/>
  <c r="X114" i="5" s="1"/>
  <c r="Q206" i="7" s="1"/>
  <c r="F114" i="5"/>
  <c r="H113" i="5"/>
  <c r="G113" i="5"/>
  <c r="X113" i="5" s="1"/>
  <c r="Q205" i="7" s="1"/>
  <c r="F113" i="5"/>
  <c r="H112" i="5"/>
  <c r="G112" i="5"/>
  <c r="X112" i="5" s="1"/>
  <c r="Q204" i="7" s="1"/>
  <c r="F112" i="5"/>
  <c r="H111" i="5"/>
  <c r="G111" i="5"/>
  <c r="X111" i="5" s="1"/>
  <c r="Q203" i="7" s="1"/>
  <c r="F111" i="5"/>
  <c r="H110" i="5"/>
  <c r="G110" i="5"/>
  <c r="X110" i="5" s="1"/>
  <c r="Q202" i="7" s="1"/>
  <c r="F110" i="5"/>
  <c r="H109" i="5"/>
  <c r="G109" i="5"/>
  <c r="X109" i="5" s="1"/>
  <c r="Q201" i="7" s="1"/>
  <c r="F109" i="5"/>
  <c r="G108" i="5"/>
  <c r="X108" i="5" s="1"/>
  <c r="Q200" i="7" s="1"/>
  <c r="H107" i="5"/>
  <c r="G107" i="5"/>
  <c r="X107" i="5" s="1"/>
  <c r="Q199" i="7" s="1"/>
  <c r="F107" i="5"/>
  <c r="H106" i="5"/>
  <c r="G106" i="5"/>
  <c r="X106" i="5" s="1"/>
  <c r="Q198" i="7" s="1"/>
  <c r="F106" i="5"/>
  <c r="H105" i="5"/>
  <c r="G105" i="5"/>
  <c r="X105" i="5" s="1"/>
  <c r="Q197" i="7" s="1"/>
  <c r="F105" i="5"/>
  <c r="H104" i="5"/>
  <c r="G104" i="5"/>
  <c r="X104" i="5" s="1"/>
  <c r="Q196" i="7" s="1"/>
  <c r="F104" i="5"/>
  <c r="H103" i="5"/>
  <c r="G103" i="5"/>
  <c r="X103" i="5" s="1"/>
  <c r="Q195" i="7" s="1"/>
  <c r="F103" i="5"/>
  <c r="H102" i="5"/>
  <c r="G102" i="5"/>
  <c r="X102" i="5" s="1"/>
  <c r="Q194" i="7" s="1"/>
  <c r="F102" i="5"/>
  <c r="H101" i="5"/>
  <c r="G101" i="5"/>
  <c r="X101" i="5" s="1"/>
  <c r="Q193" i="7" s="1"/>
  <c r="F101" i="5"/>
  <c r="H100" i="5"/>
  <c r="G100" i="5"/>
  <c r="X100" i="5" s="1"/>
  <c r="Q192" i="7" s="1"/>
  <c r="F100" i="5"/>
  <c r="H99" i="5"/>
  <c r="G99" i="5"/>
  <c r="X99" i="5" s="1"/>
  <c r="Q191" i="7" s="1"/>
  <c r="F99" i="5"/>
  <c r="H98" i="5"/>
  <c r="G98" i="5"/>
  <c r="X98" i="5" s="1"/>
  <c r="Q190" i="7" s="1"/>
  <c r="F98" i="5"/>
  <c r="H97" i="5"/>
  <c r="G97" i="5"/>
  <c r="X97" i="5" s="1"/>
  <c r="Q189" i="7" s="1"/>
  <c r="F97" i="5"/>
  <c r="H96" i="5"/>
  <c r="G96" i="5"/>
  <c r="X96" i="5" s="1"/>
  <c r="Q188" i="7" s="1"/>
  <c r="F96" i="5"/>
  <c r="H95" i="5"/>
  <c r="G95" i="5"/>
  <c r="X95" i="5" s="1"/>
  <c r="Q187" i="7" s="1"/>
  <c r="F95" i="5"/>
  <c r="H94" i="5"/>
  <c r="G94" i="5"/>
  <c r="X94" i="5" s="1"/>
  <c r="Q186" i="7" s="1"/>
  <c r="F94" i="5"/>
  <c r="H93" i="5"/>
  <c r="G93" i="5"/>
  <c r="X93" i="5" s="1"/>
  <c r="Q185" i="7" s="1"/>
  <c r="F93" i="5"/>
  <c r="H92" i="5"/>
  <c r="G92" i="5"/>
  <c r="X92" i="5" s="1"/>
  <c r="Q184" i="7" s="1"/>
  <c r="F92" i="5"/>
  <c r="G91" i="5"/>
  <c r="X91" i="5" s="1"/>
  <c r="Q183" i="7" s="1"/>
  <c r="F91" i="5"/>
  <c r="G90" i="5"/>
  <c r="X90" i="5" s="1"/>
  <c r="Q182" i="7" s="1"/>
  <c r="F90" i="5"/>
  <c r="G89" i="5"/>
  <c r="X89" i="5" s="1"/>
  <c r="Q181" i="7" s="1"/>
  <c r="F89" i="5"/>
  <c r="G88" i="5"/>
  <c r="X88" i="5" s="1"/>
  <c r="Q180" i="7" s="1"/>
  <c r="F88" i="5"/>
  <c r="G87" i="5"/>
  <c r="X87" i="5" s="1"/>
  <c r="Q179" i="7" s="1"/>
  <c r="F87" i="5"/>
  <c r="G86" i="5"/>
  <c r="X86" i="5" s="1"/>
  <c r="Q178" i="7" s="1"/>
  <c r="F86" i="5"/>
  <c r="G84" i="5"/>
  <c r="X84" i="5" s="1"/>
  <c r="Q176" i="7" s="1"/>
  <c r="F84" i="5"/>
  <c r="G83" i="5"/>
  <c r="X83" i="5" s="1"/>
  <c r="Q175" i="7" s="1"/>
  <c r="F83" i="5"/>
  <c r="G82" i="5"/>
  <c r="X82" i="5" s="1"/>
  <c r="Q174" i="7" s="1"/>
  <c r="F82" i="5"/>
  <c r="G81" i="5"/>
  <c r="X81" i="5" s="1"/>
  <c r="Q173" i="7" s="1"/>
  <c r="F81" i="5"/>
  <c r="G80" i="5"/>
  <c r="X80" i="5" s="1"/>
  <c r="Q172" i="7" s="1"/>
  <c r="F80" i="5"/>
  <c r="G79" i="5"/>
  <c r="X79" i="5" s="1"/>
  <c r="Q171" i="7" s="1"/>
  <c r="F79" i="5"/>
  <c r="G78" i="5"/>
  <c r="X78" i="5" s="1"/>
  <c r="Q170" i="7" s="1"/>
  <c r="F78" i="5"/>
  <c r="G77" i="5"/>
  <c r="X77" i="5" s="1"/>
  <c r="Q169" i="7" s="1"/>
  <c r="F77" i="5"/>
  <c r="G76" i="5"/>
  <c r="X76" i="5" s="1"/>
  <c r="Q168" i="7" s="1"/>
  <c r="F76" i="5"/>
  <c r="G74" i="5"/>
  <c r="X74" i="5" s="1"/>
  <c r="Q166" i="7" s="1"/>
  <c r="F74" i="5"/>
  <c r="G73" i="5"/>
  <c r="X73" i="5" s="1"/>
  <c r="Q165" i="7" s="1"/>
  <c r="F73" i="5"/>
  <c r="G72" i="5"/>
  <c r="X72" i="5" s="1"/>
  <c r="Q164" i="7" s="1"/>
  <c r="F72" i="5"/>
  <c r="G71" i="5"/>
  <c r="X71" i="5" s="1"/>
  <c r="Q163" i="7" s="1"/>
  <c r="F71" i="5"/>
  <c r="G70" i="5"/>
  <c r="X70" i="5" s="1"/>
  <c r="Q162" i="7" s="1"/>
  <c r="F70" i="5"/>
  <c r="G69" i="5"/>
  <c r="X69" i="5" s="1"/>
  <c r="Q161" i="7" s="1"/>
  <c r="F69" i="5"/>
  <c r="G68" i="5"/>
  <c r="X68" i="5" s="1"/>
  <c r="Q160" i="7" s="1"/>
  <c r="F68" i="5"/>
  <c r="H91" i="5"/>
  <c r="G66" i="5"/>
  <c r="X66" i="5" s="1"/>
  <c r="Q158" i="7" s="1"/>
  <c r="G67" i="5"/>
  <c r="X67" i="5" s="1"/>
  <c r="Q159" i="7" s="1"/>
  <c r="F67" i="5"/>
  <c r="AG140" i="1"/>
  <c r="K232" i="7" s="1"/>
  <c r="AF140" i="1"/>
  <c r="J232" i="7" s="1"/>
  <c r="AE140" i="1"/>
  <c r="I232" i="7" s="1"/>
  <c r="AG138" i="1"/>
  <c r="K230" i="7" s="1"/>
  <c r="AF138" i="1"/>
  <c r="J230" i="7" s="1"/>
  <c r="AE138" i="1"/>
  <c r="I230" i="7" s="1"/>
  <c r="AG137" i="1"/>
  <c r="K229" i="7" s="1"/>
  <c r="AF137" i="1"/>
  <c r="J229" i="7" s="1"/>
  <c r="AE137" i="1"/>
  <c r="I229" i="7" s="1"/>
  <c r="AG136" i="1"/>
  <c r="K228" i="7" s="1"/>
  <c r="AF136" i="1"/>
  <c r="J228" i="7" s="1"/>
  <c r="AE136" i="1"/>
  <c r="I228" i="7" s="1"/>
  <c r="AG135" i="1"/>
  <c r="K227" i="7" s="1"/>
  <c r="AF135" i="1"/>
  <c r="J227" i="7" s="1"/>
  <c r="AE135" i="1"/>
  <c r="I227" i="7" s="1"/>
  <c r="AG134" i="1"/>
  <c r="K226" i="7" s="1"/>
  <c r="AF134" i="1"/>
  <c r="J226" i="7" s="1"/>
  <c r="AE134" i="1"/>
  <c r="I226" i="7" s="1"/>
  <c r="AG133" i="1"/>
  <c r="K225" i="7" s="1"/>
  <c r="AF133" i="1"/>
  <c r="J225" i="7" s="1"/>
  <c r="AE133" i="1"/>
  <c r="I225" i="7" s="1"/>
  <c r="AG132" i="1"/>
  <c r="K224" i="7" s="1"/>
  <c r="AF132" i="1"/>
  <c r="J224" i="7" s="1"/>
  <c r="AE132" i="1"/>
  <c r="I224" i="7" s="1"/>
  <c r="AG131" i="1"/>
  <c r="K223" i="7" s="1"/>
  <c r="AF131" i="1"/>
  <c r="J223" i="7" s="1"/>
  <c r="AE131" i="1"/>
  <c r="I223" i="7" s="1"/>
  <c r="AG130" i="1"/>
  <c r="K222" i="7" s="1"/>
  <c r="AF130" i="1"/>
  <c r="J222" i="7" s="1"/>
  <c r="AE130" i="1"/>
  <c r="I222" i="7" s="1"/>
  <c r="AG125" i="1"/>
  <c r="K217" i="7" s="1"/>
  <c r="AF125" i="1"/>
  <c r="J217" i="7" s="1"/>
  <c r="AE125" i="1"/>
  <c r="I217" i="7" s="1"/>
  <c r="AD140" i="1"/>
  <c r="H232" i="7" s="1"/>
  <c r="AD138" i="1"/>
  <c r="H230" i="7" s="1"/>
  <c r="AD137" i="1"/>
  <c r="H229" i="7" s="1"/>
  <c r="AD136" i="1"/>
  <c r="H228" i="7" s="1"/>
  <c r="AD135" i="1"/>
  <c r="H227" i="7" s="1"/>
  <c r="AD134" i="1"/>
  <c r="H226" i="7" s="1"/>
  <c r="AD133" i="1"/>
  <c r="H225" i="7" s="1"/>
  <c r="AD132" i="1"/>
  <c r="H224" i="7" s="1"/>
  <c r="AD131" i="1"/>
  <c r="H223" i="7" s="1"/>
  <c r="AD130" i="1"/>
  <c r="H222" i="7" s="1"/>
  <c r="AD127" i="1"/>
  <c r="H219" i="7" s="1"/>
  <c r="AD126" i="1"/>
  <c r="H218" i="7" s="1"/>
  <c r="AD125" i="1"/>
  <c r="H217" i="7" s="1"/>
  <c r="AC140" i="1"/>
  <c r="G232" i="7" s="1"/>
  <c r="AC138" i="1"/>
  <c r="G230" i="7" s="1"/>
  <c r="AC137" i="1"/>
  <c r="G229" i="7" s="1"/>
  <c r="AC136" i="1"/>
  <c r="G228" i="7" s="1"/>
  <c r="AC135" i="1"/>
  <c r="G227" i="7" s="1"/>
  <c r="AC134" i="1"/>
  <c r="G226" i="7" s="1"/>
  <c r="AC133" i="1"/>
  <c r="G225" i="7" s="1"/>
  <c r="AC132" i="1"/>
  <c r="G224" i="7" s="1"/>
  <c r="AC131" i="1"/>
  <c r="G223" i="7" s="1"/>
  <c r="AC130" i="1"/>
  <c r="G222" i="7" s="1"/>
  <c r="AC127" i="1"/>
  <c r="G219" i="7" s="1"/>
  <c r="AC126" i="1"/>
  <c r="G218" i="7" s="1"/>
  <c r="AC125" i="1"/>
  <c r="G217" i="7" s="1"/>
  <c r="AB140" i="1"/>
  <c r="F232" i="7" s="1"/>
  <c r="AB138" i="1"/>
  <c r="F230" i="7" s="1"/>
  <c r="AB137" i="1"/>
  <c r="F229" i="7" s="1"/>
  <c r="AB136" i="1"/>
  <c r="F228" i="7" s="1"/>
  <c r="AB135" i="1"/>
  <c r="F227" i="7" s="1"/>
  <c r="AB134" i="1"/>
  <c r="F226" i="7" s="1"/>
  <c r="AB133" i="1"/>
  <c r="F225" i="7" s="1"/>
  <c r="AB132" i="1"/>
  <c r="F224" i="7" s="1"/>
  <c r="AB131" i="1"/>
  <c r="F223" i="7" s="1"/>
  <c r="AB130" i="1"/>
  <c r="F222" i="7" s="1"/>
  <c r="AB127" i="1"/>
  <c r="F219" i="7" s="1"/>
  <c r="AB126" i="1"/>
  <c r="F218" i="7" s="1"/>
  <c r="AB125" i="1"/>
  <c r="F217" i="7" s="1"/>
  <c r="Z120" i="1"/>
  <c r="AF120" i="1" s="1"/>
  <c r="J212" i="7" s="1"/>
  <c r="Y120" i="1"/>
  <c r="AD120" i="1" s="1"/>
  <c r="H212" i="7" s="1"/>
  <c r="Z119" i="1"/>
  <c r="AG119" i="1" s="1"/>
  <c r="K211" i="7" s="1"/>
  <c r="Y119" i="1"/>
  <c r="AC119" i="1" s="1"/>
  <c r="G211" i="7" s="1"/>
  <c r="Z118" i="1"/>
  <c r="AF118" i="1" s="1"/>
  <c r="J210" i="7" s="1"/>
  <c r="Y118" i="1"/>
  <c r="AD118" i="1" s="1"/>
  <c r="H210" i="7" s="1"/>
  <c r="Z117" i="1"/>
  <c r="AG117" i="1" s="1"/>
  <c r="K209" i="7" s="1"/>
  <c r="Y117" i="1"/>
  <c r="AC117" i="1" s="1"/>
  <c r="G209" i="7" s="1"/>
  <c r="Z116" i="1"/>
  <c r="AF116" i="1" s="1"/>
  <c r="J208" i="7" s="1"/>
  <c r="Y116" i="1"/>
  <c r="AC116" i="1" s="1"/>
  <c r="G208" i="7" s="1"/>
  <c r="X116" i="1"/>
  <c r="W116" i="1"/>
  <c r="AD116" i="1" s="1"/>
  <c r="H208" i="7" s="1"/>
  <c r="Z115" i="1"/>
  <c r="AG115" i="1" s="1"/>
  <c r="K207" i="7" s="1"/>
  <c r="Y115" i="1"/>
  <c r="AC115" i="1" s="1"/>
  <c r="G207" i="7" s="1"/>
  <c r="X115" i="1"/>
  <c r="W115" i="1"/>
  <c r="AD115" i="1" s="1"/>
  <c r="H207" i="7" s="1"/>
  <c r="Z114" i="1"/>
  <c r="AF114" i="1" s="1"/>
  <c r="J206" i="7" s="1"/>
  <c r="Y114" i="1"/>
  <c r="AC114" i="1" s="1"/>
  <c r="G206" i="7" s="1"/>
  <c r="X114" i="1"/>
  <c r="W114" i="1"/>
  <c r="AD114" i="1" s="1"/>
  <c r="H206" i="7" s="1"/>
  <c r="Z113" i="1"/>
  <c r="AG113" i="1" s="1"/>
  <c r="K205" i="7" s="1"/>
  <c r="Y113" i="1"/>
  <c r="AC113" i="1" s="1"/>
  <c r="G205" i="7" s="1"/>
  <c r="X113" i="1"/>
  <c r="W113" i="1"/>
  <c r="V113" i="1"/>
  <c r="U113" i="1"/>
  <c r="AD113" i="1" s="1"/>
  <c r="H205" i="7" s="1"/>
  <c r="Z112" i="1"/>
  <c r="AF112" i="1" s="1"/>
  <c r="J204" i="7" s="1"/>
  <c r="Y112" i="1"/>
  <c r="AC112" i="1" s="1"/>
  <c r="G204" i="7" s="1"/>
  <c r="X112" i="1"/>
  <c r="W112" i="1"/>
  <c r="V112" i="1"/>
  <c r="U112" i="1"/>
  <c r="AD112" i="1" s="1"/>
  <c r="H204" i="7" s="1"/>
  <c r="Z111" i="1"/>
  <c r="AG111" i="1" s="1"/>
  <c r="K203" i="7" s="1"/>
  <c r="Y111" i="1"/>
  <c r="AC111" i="1" s="1"/>
  <c r="G203" i="7" s="1"/>
  <c r="X111" i="1"/>
  <c r="W111" i="1"/>
  <c r="V111" i="1"/>
  <c r="U111" i="1"/>
  <c r="AD111" i="1" s="1"/>
  <c r="H203" i="7" s="1"/>
  <c r="Z110" i="1"/>
  <c r="AF110" i="1" s="1"/>
  <c r="J202" i="7" s="1"/>
  <c r="Y110" i="1"/>
  <c r="AC110" i="1" s="1"/>
  <c r="G202" i="7" s="1"/>
  <c r="X202" i="7" s="1"/>
  <c r="X110" i="1"/>
  <c r="W110" i="1"/>
  <c r="V110" i="1"/>
  <c r="U110" i="1"/>
  <c r="AD110" i="1" s="1"/>
  <c r="H202" i="7" s="1"/>
  <c r="Z109" i="1"/>
  <c r="AG109" i="1" s="1"/>
  <c r="K201" i="7" s="1"/>
  <c r="Y109" i="1"/>
  <c r="AC109" i="1" s="1"/>
  <c r="G201" i="7" s="1"/>
  <c r="X109" i="1"/>
  <c r="W109" i="1"/>
  <c r="V109" i="1"/>
  <c r="U109" i="1"/>
  <c r="AD109" i="1" s="1"/>
  <c r="H201" i="7" s="1"/>
  <c r="Z108" i="1"/>
  <c r="AF108" i="1" s="1"/>
  <c r="J200" i="7" s="1"/>
  <c r="Y108" i="1"/>
  <c r="AC108" i="1" s="1"/>
  <c r="G200" i="7" s="1"/>
  <c r="X200" i="7" s="1"/>
  <c r="X108" i="1"/>
  <c r="W108" i="1"/>
  <c r="V108" i="1"/>
  <c r="U108" i="1"/>
  <c r="AD108" i="1" s="1"/>
  <c r="H200" i="7" s="1"/>
  <c r="Z107" i="1"/>
  <c r="AG107" i="1" s="1"/>
  <c r="K199" i="7" s="1"/>
  <c r="Y107" i="1"/>
  <c r="AC107" i="1" s="1"/>
  <c r="G199" i="7" s="1"/>
  <c r="X107" i="1"/>
  <c r="W107" i="1"/>
  <c r="V107" i="1"/>
  <c r="U107" i="1"/>
  <c r="AD107" i="1" s="1"/>
  <c r="H199" i="7" s="1"/>
  <c r="Z106" i="1"/>
  <c r="AF106" i="1" s="1"/>
  <c r="J198" i="7" s="1"/>
  <c r="Y106" i="1"/>
  <c r="AC106" i="1" s="1"/>
  <c r="G198" i="7" s="1"/>
  <c r="X198" i="7" s="1"/>
  <c r="X106" i="1"/>
  <c r="W106" i="1"/>
  <c r="V106" i="1"/>
  <c r="U106" i="1"/>
  <c r="AD106" i="1" s="1"/>
  <c r="H198" i="7" s="1"/>
  <c r="Z105" i="1"/>
  <c r="AG105" i="1" s="1"/>
  <c r="K197" i="7" s="1"/>
  <c r="Y105" i="1"/>
  <c r="AC105" i="1" s="1"/>
  <c r="G197" i="7" s="1"/>
  <c r="X105" i="1"/>
  <c r="W105" i="1"/>
  <c r="V105" i="1"/>
  <c r="U105" i="1"/>
  <c r="AD105" i="1" s="1"/>
  <c r="H197" i="7" s="1"/>
  <c r="Z104" i="1"/>
  <c r="AF104" i="1" s="1"/>
  <c r="J196" i="7" s="1"/>
  <c r="Y104" i="1"/>
  <c r="AC104" i="1" s="1"/>
  <c r="G196" i="7" s="1"/>
  <c r="X196" i="7" s="1"/>
  <c r="X104" i="1"/>
  <c r="W104" i="1"/>
  <c r="V104" i="1"/>
  <c r="U104" i="1"/>
  <c r="AD104" i="1" s="1"/>
  <c r="H196" i="7" s="1"/>
  <c r="Z103" i="1"/>
  <c r="AG103" i="1" s="1"/>
  <c r="K195" i="7" s="1"/>
  <c r="Y103" i="1"/>
  <c r="AC103" i="1" s="1"/>
  <c r="G195" i="7" s="1"/>
  <c r="X103" i="1"/>
  <c r="W103" i="1"/>
  <c r="V103" i="1"/>
  <c r="U103" i="1"/>
  <c r="AD103" i="1" s="1"/>
  <c r="H195" i="7" s="1"/>
  <c r="Z102" i="1"/>
  <c r="AF102" i="1" s="1"/>
  <c r="J194" i="7" s="1"/>
  <c r="Y102" i="1"/>
  <c r="AC102" i="1" s="1"/>
  <c r="G194" i="7" s="1"/>
  <c r="X194" i="7" s="1"/>
  <c r="X102" i="1"/>
  <c r="W102" i="1"/>
  <c r="V102" i="1"/>
  <c r="U102" i="1"/>
  <c r="AD102" i="1" s="1"/>
  <c r="H194" i="7" s="1"/>
  <c r="Z101" i="1"/>
  <c r="AG101" i="1" s="1"/>
  <c r="K193" i="7" s="1"/>
  <c r="Y101" i="1"/>
  <c r="AC101" i="1" s="1"/>
  <c r="G193" i="7" s="1"/>
  <c r="X101" i="1"/>
  <c r="W101" i="1"/>
  <c r="V101" i="1"/>
  <c r="U101" i="1"/>
  <c r="AD101" i="1" s="1"/>
  <c r="H193" i="7" s="1"/>
  <c r="Z100" i="1"/>
  <c r="AF100" i="1" s="1"/>
  <c r="J192" i="7" s="1"/>
  <c r="Y100" i="1"/>
  <c r="AC100" i="1" s="1"/>
  <c r="G192" i="7" s="1"/>
  <c r="X192" i="7" s="1"/>
  <c r="X100" i="1"/>
  <c r="W100" i="1"/>
  <c r="V100" i="1"/>
  <c r="U100" i="1"/>
  <c r="AD100" i="1" s="1"/>
  <c r="H192" i="7" s="1"/>
  <c r="Z99" i="1"/>
  <c r="AG99" i="1" s="1"/>
  <c r="K191" i="7" s="1"/>
  <c r="Y99" i="1"/>
  <c r="AC99" i="1" s="1"/>
  <c r="G191" i="7" s="1"/>
  <c r="X99" i="1"/>
  <c r="W99" i="1"/>
  <c r="V99" i="1"/>
  <c r="U99" i="1"/>
  <c r="AD99" i="1" s="1"/>
  <c r="H191" i="7" s="1"/>
  <c r="Z98" i="1"/>
  <c r="AF98" i="1" s="1"/>
  <c r="J190" i="7" s="1"/>
  <c r="Y98" i="1"/>
  <c r="AC98" i="1" s="1"/>
  <c r="G190" i="7" s="1"/>
  <c r="X190" i="7" s="1"/>
  <c r="X98" i="1"/>
  <c r="W98" i="1"/>
  <c r="V98" i="1"/>
  <c r="U98" i="1"/>
  <c r="AD98" i="1" s="1"/>
  <c r="H190" i="7" s="1"/>
  <c r="Z97" i="1"/>
  <c r="AG97" i="1" s="1"/>
  <c r="K189" i="7" s="1"/>
  <c r="Y97" i="1"/>
  <c r="AC97" i="1" s="1"/>
  <c r="G189" i="7" s="1"/>
  <c r="X97" i="1"/>
  <c r="W97" i="1"/>
  <c r="V97" i="1"/>
  <c r="U97" i="1"/>
  <c r="AD97" i="1" s="1"/>
  <c r="H189" i="7" s="1"/>
  <c r="Z96" i="1"/>
  <c r="AF96" i="1" s="1"/>
  <c r="J188" i="7" s="1"/>
  <c r="Y96" i="1"/>
  <c r="AC96" i="1" s="1"/>
  <c r="G188" i="7" s="1"/>
  <c r="X188" i="7" s="1"/>
  <c r="X96" i="1"/>
  <c r="W96" i="1"/>
  <c r="V96" i="1"/>
  <c r="U96" i="1"/>
  <c r="AD96" i="1" s="1"/>
  <c r="H188" i="7" s="1"/>
  <c r="Z95" i="1"/>
  <c r="AG95" i="1" s="1"/>
  <c r="K187" i="7" s="1"/>
  <c r="Y95" i="1"/>
  <c r="AC95" i="1" s="1"/>
  <c r="G187" i="7" s="1"/>
  <c r="X95" i="1"/>
  <c r="W95" i="1"/>
  <c r="V95" i="1"/>
  <c r="U95" i="1"/>
  <c r="AD95" i="1" s="1"/>
  <c r="H187" i="7" s="1"/>
  <c r="Z94" i="1"/>
  <c r="AF94" i="1" s="1"/>
  <c r="J186" i="7" s="1"/>
  <c r="Y94" i="1"/>
  <c r="X94" i="1"/>
  <c r="W94" i="1"/>
  <c r="V94" i="1"/>
  <c r="U94" i="1"/>
  <c r="AD94" i="1" s="1"/>
  <c r="H186" i="7" s="1"/>
  <c r="Z93" i="1"/>
  <c r="AG93" i="1" s="1"/>
  <c r="K185" i="7" s="1"/>
  <c r="Y93" i="1"/>
  <c r="AC93" i="1" s="1"/>
  <c r="G185" i="7" s="1"/>
  <c r="X93" i="1"/>
  <c r="W93" i="1"/>
  <c r="V93" i="1"/>
  <c r="U93" i="1"/>
  <c r="AD93" i="1" s="1"/>
  <c r="H185" i="7" s="1"/>
  <c r="Z92" i="1"/>
  <c r="AF92" i="1" s="1"/>
  <c r="J184" i="7" s="1"/>
  <c r="Y92" i="1"/>
  <c r="AC92" i="1" s="1"/>
  <c r="G184" i="7" s="1"/>
  <c r="X184" i="7" s="1"/>
  <c r="X92" i="1"/>
  <c r="W92" i="1"/>
  <c r="V92" i="1"/>
  <c r="U92" i="1"/>
  <c r="AD92" i="1" s="1"/>
  <c r="H184" i="7" s="1"/>
  <c r="Z91" i="1"/>
  <c r="AG91" i="1" s="1"/>
  <c r="K183" i="7" s="1"/>
  <c r="Y91" i="1"/>
  <c r="AC91" i="1" s="1"/>
  <c r="G183" i="7" s="1"/>
  <c r="X91" i="1"/>
  <c r="W91" i="1"/>
  <c r="V91" i="1"/>
  <c r="U91" i="1"/>
  <c r="AD91" i="1" s="1"/>
  <c r="H183" i="7" s="1"/>
  <c r="Z90" i="1"/>
  <c r="AF90" i="1" s="1"/>
  <c r="J182" i="7" s="1"/>
  <c r="Y90" i="1"/>
  <c r="AC90" i="1" s="1"/>
  <c r="G182" i="7" s="1"/>
  <c r="X182" i="7" s="1"/>
  <c r="X90" i="1"/>
  <c r="W90" i="1"/>
  <c r="V90" i="1"/>
  <c r="U90" i="1"/>
  <c r="AD90" i="1" s="1"/>
  <c r="H182" i="7" s="1"/>
  <c r="Z89" i="1"/>
  <c r="AG89" i="1" s="1"/>
  <c r="K181" i="7" s="1"/>
  <c r="Y89" i="1"/>
  <c r="AC89" i="1" s="1"/>
  <c r="G181" i="7" s="1"/>
  <c r="X89" i="1"/>
  <c r="W89" i="1"/>
  <c r="V89" i="1"/>
  <c r="U89" i="1"/>
  <c r="AD89" i="1" s="1"/>
  <c r="H181" i="7" s="1"/>
  <c r="Z88" i="1"/>
  <c r="AF88" i="1" s="1"/>
  <c r="J180" i="7" s="1"/>
  <c r="Y88" i="1"/>
  <c r="AC88" i="1" s="1"/>
  <c r="G180" i="7" s="1"/>
  <c r="X180" i="7" s="1"/>
  <c r="X88" i="1"/>
  <c r="W88" i="1"/>
  <c r="V88" i="1"/>
  <c r="U88" i="1"/>
  <c r="AD88" i="1" s="1"/>
  <c r="H180" i="7" s="1"/>
  <c r="Z87" i="1"/>
  <c r="AG87" i="1" s="1"/>
  <c r="K179" i="7" s="1"/>
  <c r="Y87" i="1"/>
  <c r="AC87" i="1" s="1"/>
  <c r="G179" i="7" s="1"/>
  <c r="X87" i="1"/>
  <c r="W87" i="1"/>
  <c r="V87" i="1"/>
  <c r="U87" i="1"/>
  <c r="AD87" i="1" s="1"/>
  <c r="H179" i="7" s="1"/>
  <c r="Z86" i="1"/>
  <c r="AF86" i="1" s="1"/>
  <c r="J178" i="7" s="1"/>
  <c r="Y86" i="1"/>
  <c r="AC86" i="1" s="1"/>
  <c r="G178" i="7" s="1"/>
  <c r="X178" i="7" s="1"/>
  <c r="X86" i="1"/>
  <c r="W86" i="1"/>
  <c r="V86" i="1"/>
  <c r="U86" i="1"/>
  <c r="AD86" i="1" s="1"/>
  <c r="H178" i="7" s="1"/>
  <c r="Z85" i="1"/>
  <c r="AG85" i="1" s="1"/>
  <c r="K177" i="7" s="1"/>
  <c r="Y85" i="1"/>
  <c r="AC85" i="1" s="1"/>
  <c r="G177" i="7" s="1"/>
  <c r="X85" i="1"/>
  <c r="W85" i="1"/>
  <c r="V85" i="1"/>
  <c r="U85" i="1"/>
  <c r="AD85" i="1" s="1"/>
  <c r="H177" i="7" s="1"/>
  <c r="Z84" i="1"/>
  <c r="AF84" i="1" s="1"/>
  <c r="J176" i="7" s="1"/>
  <c r="Y84" i="1"/>
  <c r="AC84" i="1" s="1"/>
  <c r="G176" i="7" s="1"/>
  <c r="X176" i="7" s="1"/>
  <c r="X84" i="1"/>
  <c r="W84" i="1"/>
  <c r="V84" i="1"/>
  <c r="U84" i="1"/>
  <c r="AD84" i="1" s="1"/>
  <c r="H176" i="7" s="1"/>
  <c r="Z83" i="1"/>
  <c r="AG83" i="1" s="1"/>
  <c r="K175" i="7" s="1"/>
  <c r="Y83" i="1"/>
  <c r="AC83" i="1" s="1"/>
  <c r="G175" i="7" s="1"/>
  <c r="X83" i="1"/>
  <c r="W83" i="1"/>
  <c r="V83" i="1"/>
  <c r="U83" i="1"/>
  <c r="AD83" i="1" s="1"/>
  <c r="H175" i="7" s="1"/>
  <c r="Z82" i="1"/>
  <c r="AF82" i="1" s="1"/>
  <c r="J174" i="7" s="1"/>
  <c r="Y82" i="1"/>
  <c r="AC82" i="1" s="1"/>
  <c r="G174" i="7" s="1"/>
  <c r="X174" i="7" s="1"/>
  <c r="X82" i="1"/>
  <c r="W82" i="1"/>
  <c r="V82" i="1"/>
  <c r="U82" i="1"/>
  <c r="AD82" i="1" s="1"/>
  <c r="H174" i="7" s="1"/>
  <c r="Z81" i="1"/>
  <c r="AG81" i="1" s="1"/>
  <c r="K173" i="7" s="1"/>
  <c r="Y81" i="1"/>
  <c r="AC81" i="1" s="1"/>
  <c r="G173" i="7" s="1"/>
  <c r="X81" i="1"/>
  <c r="W81" i="1"/>
  <c r="V81" i="1"/>
  <c r="U81" i="1"/>
  <c r="AD81" i="1" s="1"/>
  <c r="H173" i="7" s="1"/>
  <c r="Z80" i="1"/>
  <c r="AF80" i="1" s="1"/>
  <c r="J172" i="7" s="1"/>
  <c r="Y80" i="1"/>
  <c r="AC80" i="1" s="1"/>
  <c r="G172" i="7" s="1"/>
  <c r="X172" i="7" s="1"/>
  <c r="X80" i="1"/>
  <c r="W80" i="1"/>
  <c r="V80" i="1"/>
  <c r="U80" i="1"/>
  <c r="AD80" i="1" s="1"/>
  <c r="H172" i="7" s="1"/>
  <c r="Z79" i="1"/>
  <c r="AG79" i="1" s="1"/>
  <c r="K171" i="7" s="1"/>
  <c r="Y79" i="1"/>
  <c r="AC79" i="1" s="1"/>
  <c r="G171" i="7" s="1"/>
  <c r="X79" i="1"/>
  <c r="W79" i="1"/>
  <c r="V79" i="1"/>
  <c r="U79" i="1"/>
  <c r="AD79" i="1" s="1"/>
  <c r="H171" i="7" s="1"/>
  <c r="Z78" i="1"/>
  <c r="AF78" i="1" s="1"/>
  <c r="J170" i="7" s="1"/>
  <c r="Y78" i="1"/>
  <c r="AC78" i="1" s="1"/>
  <c r="G170" i="7" s="1"/>
  <c r="X170" i="7" s="1"/>
  <c r="X78" i="1"/>
  <c r="W78" i="1"/>
  <c r="V78" i="1"/>
  <c r="U78" i="1"/>
  <c r="AD78" i="1" s="1"/>
  <c r="H170" i="7" s="1"/>
  <c r="Z77" i="1"/>
  <c r="AG77" i="1" s="1"/>
  <c r="K169" i="7" s="1"/>
  <c r="Y77" i="1"/>
  <c r="AC77" i="1" s="1"/>
  <c r="G169" i="7" s="1"/>
  <c r="X77" i="1"/>
  <c r="W77" i="1"/>
  <c r="V77" i="1"/>
  <c r="U77" i="1"/>
  <c r="AD77" i="1" s="1"/>
  <c r="H169" i="7" s="1"/>
  <c r="Z76" i="1"/>
  <c r="AF76" i="1" s="1"/>
  <c r="J168" i="7" s="1"/>
  <c r="Y76" i="1"/>
  <c r="AC76" i="1" s="1"/>
  <c r="G168" i="7" s="1"/>
  <c r="X168" i="7" s="1"/>
  <c r="X76" i="1"/>
  <c r="W76" i="1"/>
  <c r="V76" i="1"/>
  <c r="U76" i="1"/>
  <c r="AD76" i="1" s="1"/>
  <c r="H168" i="7" s="1"/>
  <c r="Z75" i="1"/>
  <c r="AG75" i="1" s="1"/>
  <c r="K167" i="7" s="1"/>
  <c r="Y75" i="1"/>
  <c r="AC75" i="1" s="1"/>
  <c r="G167" i="7" s="1"/>
  <c r="X75" i="1"/>
  <c r="W75" i="1"/>
  <c r="V75" i="1"/>
  <c r="U75" i="1"/>
  <c r="AD75" i="1" s="1"/>
  <c r="H167" i="7" s="1"/>
  <c r="Z74" i="1"/>
  <c r="AF74" i="1" s="1"/>
  <c r="J166" i="7" s="1"/>
  <c r="Y74" i="1"/>
  <c r="AC74" i="1" s="1"/>
  <c r="G166" i="7" s="1"/>
  <c r="X166" i="7" s="1"/>
  <c r="X74" i="1"/>
  <c r="W74" i="1"/>
  <c r="V74" i="1"/>
  <c r="U74" i="1"/>
  <c r="AD74" i="1" s="1"/>
  <c r="H166" i="7" s="1"/>
  <c r="Z73" i="1"/>
  <c r="AG73" i="1" s="1"/>
  <c r="K165" i="7" s="1"/>
  <c r="Y73" i="1"/>
  <c r="AC73" i="1" s="1"/>
  <c r="G165" i="7" s="1"/>
  <c r="X73" i="1"/>
  <c r="W73" i="1"/>
  <c r="V73" i="1"/>
  <c r="U73" i="1"/>
  <c r="AD73" i="1" s="1"/>
  <c r="H165" i="7" s="1"/>
  <c r="Z72" i="1"/>
  <c r="AF72" i="1" s="1"/>
  <c r="J164" i="7" s="1"/>
  <c r="Y72" i="1"/>
  <c r="AC72" i="1" s="1"/>
  <c r="G164" i="7" s="1"/>
  <c r="X164" i="7" s="1"/>
  <c r="X72" i="1"/>
  <c r="W72" i="1"/>
  <c r="V72" i="1"/>
  <c r="U72" i="1"/>
  <c r="AD72" i="1" s="1"/>
  <c r="H164" i="7" s="1"/>
  <c r="Z71" i="1"/>
  <c r="AG71" i="1" s="1"/>
  <c r="K163" i="7" s="1"/>
  <c r="Y71" i="1"/>
  <c r="AC71" i="1" s="1"/>
  <c r="G163" i="7" s="1"/>
  <c r="X71" i="1"/>
  <c r="W71" i="1"/>
  <c r="V71" i="1"/>
  <c r="U71" i="1"/>
  <c r="AD71" i="1" s="1"/>
  <c r="H163" i="7" s="1"/>
  <c r="Z70" i="1"/>
  <c r="AF70" i="1" s="1"/>
  <c r="J162" i="7" s="1"/>
  <c r="Y70" i="1"/>
  <c r="AC70" i="1" s="1"/>
  <c r="G162" i="7" s="1"/>
  <c r="X162" i="7" s="1"/>
  <c r="X70" i="1"/>
  <c r="W70" i="1"/>
  <c r="V70" i="1"/>
  <c r="U70" i="1"/>
  <c r="AD70" i="1" s="1"/>
  <c r="H162" i="7" s="1"/>
  <c r="Z69" i="1"/>
  <c r="AG69" i="1" s="1"/>
  <c r="K161" i="7" s="1"/>
  <c r="Y69" i="1"/>
  <c r="AC69" i="1" s="1"/>
  <c r="G161" i="7" s="1"/>
  <c r="X69" i="1"/>
  <c r="W69" i="1"/>
  <c r="V69" i="1"/>
  <c r="U69" i="1"/>
  <c r="AD69" i="1" s="1"/>
  <c r="H161" i="7" s="1"/>
  <c r="Z68" i="1"/>
  <c r="AF68" i="1" s="1"/>
  <c r="J160" i="7" s="1"/>
  <c r="Y68" i="1"/>
  <c r="AC68" i="1" s="1"/>
  <c r="G160" i="7" s="1"/>
  <c r="X160" i="7" s="1"/>
  <c r="X68" i="1"/>
  <c r="W68" i="1"/>
  <c r="V68" i="1"/>
  <c r="U68" i="1"/>
  <c r="AD68" i="1" s="1"/>
  <c r="H160" i="7" s="1"/>
  <c r="Z67" i="1"/>
  <c r="AG67" i="1" s="1"/>
  <c r="K159" i="7" s="1"/>
  <c r="Y67" i="1"/>
  <c r="AC67" i="1" s="1"/>
  <c r="G159" i="7" s="1"/>
  <c r="X67" i="1"/>
  <c r="W67" i="1"/>
  <c r="V67" i="1"/>
  <c r="U67" i="1"/>
  <c r="AD67" i="1" s="1"/>
  <c r="H159" i="7" s="1"/>
  <c r="Z66" i="1"/>
  <c r="AF66" i="1" s="1"/>
  <c r="J158" i="7" s="1"/>
  <c r="Y66" i="1"/>
  <c r="AC66" i="1" s="1"/>
  <c r="G158" i="7" s="1"/>
  <c r="X158" i="7" s="1"/>
  <c r="X66" i="1"/>
  <c r="W66" i="1"/>
  <c r="V66" i="1"/>
  <c r="U66" i="1"/>
  <c r="AD66" i="1" s="1"/>
  <c r="H158" i="7" s="1"/>
  <c r="Z65" i="1"/>
  <c r="AG65" i="1" s="1"/>
  <c r="K157" i="7" s="1"/>
  <c r="Y65" i="1"/>
  <c r="AC65" i="1" s="1"/>
  <c r="G157" i="7" s="1"/>
  <c r="X65" i="1"/>
  <c r="W65" i="1"/>
  <c r="V65" i="1"/>
  <c r="U65" i="1"/>
  <c r="AD65" i="1" s="1"/>
  <c r="H157" i="7" s="1"/>
  <c r="Z64" i="1"/>
  <c r="AF64" i="1" s="1"/>
  <c r="J156" i="7" s="1"/>
  <c r="Y64" i="1"/>
  <c r="AC64" i="1" s="1"/>
  <c r="G156" i="7" s="1"/>
  <c r="X156" i="7" s="1"/>
  <c r="X64" i="1"/>
  <c r="W64" i="1"/>
  <c r="V64" i="1"/>
  <c r="U64" i="1"/>
  <c r="AD64" i="1" s="1"/>
  <c r="H156" i="7" s="1"/>
  <c r="Z63" i="1"/>
  <c r="AG63" i="1" s="1"/>
  <c r="K155" i="7" s="1"/>
  <c r="Y63" i="1"/>
  <c r="AC63" i="1" s="1"/>
  <c r="G155" i="7" s="1"/>
  <c r="X63" i="1"/>
  <c r="W63" i="1"/>
  <c r="V63" i="1"/>
  <c r="U63" i="1"/>
  <c r="AD63" i="1" s="1"/>
  <c r="H155" i="7" s="1"/>
  <c r="Z62" i="1"/>
  <c r="AF62" i="1" s="1"/>
  <c r="J154" i="7" s="1"/>
  <c r="Y62" i="1"/>
  <c r="AC62" i="1" s="1"/>
  <c r="G154" i="7" s="1"/>
  <c r="X154" i="7" s="1"/>
  <c r="X62" i="1"/>
  <c r="W62" i="1"/>
  <c r="V62" i="1"/>
  <c r="U62" i="1"/>
  <c r="AD62" i="1" s="1"/>
  <c r="H154" i="7" s="1"/>
  <c r="Z61" i="1"/>
  <c r="AG61" i="1" s="1"/>
  <c r="K153" i="7" s="1"/>
  <c r="Y61" i="1"/>
  <c r="AC61" i="1" s="1"/>
  <c r="G153" i="7" s="1"/>
  <c r="X61" i="1"/>
  <c r="W61" i="1"/>
  <c r="V61" i="1"/>
  <c r="U61" i="1"/>
  <c r="AD61" i="1" s="1"/>
  <c r="H153" i="7" s="1"/>
  <c r="Z60" i="1"/>
  <c r="AF60" i="1" s="1"/>
  <c r="J152" i="7" s="1"/>
  <c r="Y60" i="1"/>
  <c r="AC60" i="1" s="1"/>
  <c r="G152" i="7" s="1"/>
  <c r="X152" i="7" s="1"/>
  <c r="X60" i="1"/>
  <c r="W60" i="1"/>
  <c r="V60" i="1"/>
  <c r="U60" i="1"/>
  <c r="AD60" i="1" s="1"/>
  <c r="H152" i="7" s="1"/>
  <c r="Z59" i="1"/>
  <c r="AG59" i="1" s="1"/>
  <c r="K151" i="7" s="1"/>
  <c r="Y59" i="1"/>
  <c r="AC59" i="1" s="1"/>
  <c r="G151" i="7" s="1"/>
  <c r="X59" i="1"/>
  <c r="W59" i="1"/>
  <c r="V59" i="1"/>
  <c r="U59" i="1"/>
  <c r="AD59" i="1" s="1"/>
  <c r="H151" i="7" s="1"/>
  <c r="Z58" i="1"/>
  <c r="AF58" i="1" s="1"/>
  <c r="J150" i="7" s="1"/>
  <c r="Y58" i="1"/>
  <c r="AC58" i="1" s="1"/>
  <c r="G150" i="7" s="1"/>
  <c r="X150" i="7" s="1"/>
  <c r="X58" i="1"/>
  <c r="W58" i="1"/>
  <c r="V58" i="1"/>
  <c r="U58" i="1"/>
  <c r="AD58" i="1" s="1"/>
  <c r="H150" i="7" s="1"/>
  <c r="Z57" i="1"/>
  <c r="AG57" i="1" s="1"/>
  <c r="K149" i="7" s="1"/>
  <c r="Y57" i="1"/>
  <c r="AC57" i="1" s="1"/>
  <c r="G149" i="7" s="1"/>
  <c r="X57" i="1"/>
  <c r="W57" i="1"/>
  <c r="V57" i="1"/>
  <c r="U57" i="1"/>
  <c r="AD57" i="1" s="1"/>
  <c r="H149" i="7" s="1"/>
  <c r="Z56" i="1"/>
  <c r="AF56" i="1" s="1"/>
  <c r="J148" i="7" s="1"/>
  <c r="Y56" i="1"/>
  <c r="AC56" i="1" s="1"/>
  <c r="G148" i="7" s="1"/>
  <c r="X148" i="7" s="1"/>
  <c r="X56" i="1"/>
  <c r="W56" i="1"/>
  <c r="V56" i="1"/>
  <c r="U56" i="1"/>
  <c r="AD56" i="1" s="1"/>
  <c r="H148" i="7" s="1"/>
  <c r="Z55" i="1"/>
  <c r="AG55" i="1" s="1"/>
  <c r="K147" i="7" s="1"/>
  <c r="Y55" i="1"/>
  <c r="AC55" i="1" s="1"/>
  <c r="G147" i="7" s="1"/>
  <c r="X55" i="1"/>
  <c r="W55" i="1"/>
  <c r="V55" i="1"/>
  <c r="U55" i="1"/>
  <c r="AD55" i="1" s="1"/>
  <c r="H147" i="7" s="1"/>
  <c r="Z54" i="1"/>
  <c r="AF54" i="1" s="1"/>
  <c r="J146" i="7" s="1"/>
  <c r="Y54" i="1"/>
  <c r="AC54" i="1" s="1"/>
  <c r="G146" i="7" s="1"/>
  <c r="X146" i="7" s="1"/>
  <c r="X54" i="1"/>
  <c r="W54" i="1"/>
  <c r="V54" i="1"/>
  <c r="U54" i="1"/>
  <c r="AD54" i="1" s="1"/>
  <c r="H146" i="7" s="1"/>
  <c r="V53" i="1"/>
  <c r="V52" i="1"/>
  <c r="V51" i="1"/>
  <c r="X53" i="1"/>
  <c r="X52" i="1"/>
  <c r="X51" i="1"/>
  <c r="Z53" i="1"/>
  <c r="AG53" i="1" s="1"/>
  <c r="K145" i="7" s="1"/>
  <c r="Z52" i="1"/>
  <c r="AF52" i="1" s="1"/>
  <c r="J144" i="7" s="1"/>
  <c r="Z51" i="1"/>
  <c r="AG51" i="1" s="1"/>
  <c r="K143" i="7" s="1"/>
  <c r="Z50" i="1"/>
  <c r="AF50" i="1" s="1"/>
  <c r="J142" i="7" s="1"/>
  <c r="V50" i="1"/>
  <c r="X50" i="1"/>
  <c r="Z49" i="1"/>
  <c r="AG49" i="1" s="1"/>
  <c r="K141" i="7" s="1"/>
  <c r="Y53" i="1"/>
  <c r="AC53" i="1" s="1"/>
  <c r="G145" i="7" s="1"/>
  <c r="W53" i="1"/>
  <c r="U53" i="1"/>
  <c r="AD53" i="1" s="1"/>
  <c r="H145" i="7" s="1"/>
  <c r="Y52" i="1"/>
  <c r="AC52" i="1" s="1"/>
  <c r="G144" i="7" s="1"/>
  <c r="X144" i="7" s="1"/>
  <c r="W52" i="1"/>
  <c r="U52" i="1"/>
  <c r="AD52" i="1" s="1"/>
  <c r="H144" i="7" s="1"/>
  <c r="Y51" i="1"/>
  <c r="AC51" i="1" s="1"/>
  <c r="G143" i="7" s="1"/>
  <c r="W51" i="1"/>
  <c r="U51" i="1"/>
  <c r="AD51" i="1" s="1"/>
  <c r="H143" i="7" s="1"/>
  <c r="Y50" i="1"/>
  <c r="AC50" i="1" s="1"/>
  <c r="G142" i="7" s="1"/>
  <c r="X142" i="7" s="1"/>
  <c r="W50" i="1"/>
  <c r="U50" i="1"/>
  <c r="AD50" i="1" s="1"/>
  <c r="H142" i="7" s="1"/>
  <c r="Y49" i="1"/>
  <c r="AC49" i="1" s="1"/>
  <c r="G141" i="7" s="1"/>
  <c r="X141" i="7" s="1"/>
  <c r="W49" i="1"/>
  <c r="U49" i="1"/>
  <c r="AD49" i="1" s="1"/>
  <c r="H141" i="7" s="1"/>
  <c r="Y48" i="1"/>
  <c r="AC48" i="1" s="1"/>
  <c r="G140" i="7" s="1"/>
  <c r="W48" i="1"/>
  <c r="U48" i="1"/>
  <c r="AD48" i="1" s="1"/>
  <c r="H140" i="7" s="1"/>
  <c r="Y47" i="1"/>
  <c r="AC47" i="1" s="1"/>
  <c r="G139" i="7" s="1"/>
  <c r="X139" i="7" s="1"/>
  <c r="W47" i="1"/>
  <c r="U47" i="1"/>
  <c r="AD47" i="1" s="1"/>
  <c r="H139" i="7" s="1"/>
  <c r="Y46" i="1"/>
  <c r="AC46" i="1" s="1"/>
  <c r="G138" i="7" s="1"/>
  <c r="X138" i="7" s="1"/>
  <c r="W46" i="1"/>
  <c r="U46" i="1"/>
  <c r="AD46" i="1" s="1"/>
  <c r="H138" i="7" s="1"/>
  <c r="Y45" i="1"/>
  <c r="AC45" i="1" s="1"/>
  <c r="G137" i="7" s="1"/>
  <c r="X137" i="7" s="1"/>
  <c r="W45" i="1"/>
  <c r="U45" i="1"/>
  <c r="AD45" i="1" s="1"/>
  <c r="H137" i="7" s="1"/>
  <c r="Y44" i="1"/>
  <c r="AC44" i="1" s="1"/>
  <c r="G136" i="7" s="1"/>
  <c r="W44" i="1"/>
  <c r="U44" i="1"/>
  <c r="AD44" i="1" s="1"/>
  <c r="H136" i="7" s="1"/>
  <c r="Y43" i="1"/>
  <c r="AC43" i="1" s="1"/>
  <c r="G135" i="7" s="1"/>
  <c r="X135" i="7" s="1"/>
  <c r="W43" i="1"/>
  <c r="U43" i="1"/>
  <c r="AD43" i="1" s="1"/>
  <c r="H135" i="7" s="1"/>
  <c r="Y42" i="1"/>
  <c r="AC42" i="1" s="1"/>
  <c r="G134" i="7" s="1"/>
  <c r="X134" i="7" s="1"/>
  <c r="W42" i="1"/>
  <c r="U42" i="1"/>
  <c r="AD42" i="1" s="1"/>
  <c r="H134" i="7" s="1"/>
  <c r="Y41" i="1"/>
  <c r="AC41" i="1" s="1"/>
  <c r="G133" i="7" s="1"/>
  <c r="X133" i="7" s="1"/>
  <c r="W41" i="1"/>
  <c r="U41" i="1"/>
  <c r="AD41" i="1" s="1"/>
  <c r="H133" i="7" s="1"/>
  <c r="Y40" i="1"/>
  <c r="AC40" i="1" s="1"/>
  <c r="G132" i="7" s="1"/>
  <c r="W40" i="1"/>
  <c r="U40" i="1"/>
  <c r="AD40" i="1" s="1"/>
  <c r="H132" i="7" s="1"/>
  <c r="Y39" i="1"/>
  <c r="AC39" i="1" s="1"/>
  <c r="G131" i="7" s="1"/>
  <c r="X131" i="7" s="1"/>
  <c r="W39" i="1"/>
  <c r="U39" i="1"/>
  <c r="AD39" i="1" s="1"/>
  <c r="H131" i="7" s="1"/>
  <c r="Y38" i="1"/>
  <c r="AC38" i="1" s="1"/>
  <c r="G130" i="7" s="1"/>
  <c r="X130" i="7" s="1"/>
  <c r="W38" i="1"/>
  <c r="U38" i="1"/>
  <c r="AD38" i="1" s="1"/>
  <c r="H130" i="7" s="1"/>
  <c r="Y37" i="1"/>
  <c r="AC37" i="1" s="1"/>
  <c r="G129" i="7" s="1"/>
  <c r="X129" i="7" s="1"/>
  <c r="W37" i="1"/>
  <c r="U37" i="1"/>
  <c r="AD37" i="1" s="1"/>
  <c r="H129" i="7" s="1"/>
  <c r="Y36" i="1"/>
  <c r="AC36" i="1" s="1"/>
  <c r="G128" i="7" s="1"/>
  <c r="W36" i="1"/>
  <c r="U36" i="1"/>
  <c r="AD36" i="1" s="1"/>
  <c r="H128" i="7" s="1"/>
  <c r="U31" i="1"/>
  <c r="AD31" i="1" s="1"/>
  <c r="H123" i="7" s="1"/>
  <c r="W31" i="1"/>
  <c r="Y31" i="1"/>
  <c r="AC31" i="1" s="1"/>
  <c r="G123" i="7" s="1"/>
  <c r="X123" i="7" s="1"/>
  <c r="U32" i="1"/>
  <c r="AD32" i="1" s="1"/>
  <c r="H124" i="7" s="1"/>
  <c r="W32" i="1"/>
  <c r="Y32" i="1"/>
  <c r="AC32" i="1" s="1"/>
  <c r="G124" i="7" s="1"/>
  <c r="U33" i="1"/>
  <c r="AD33" i="1" s="1"/>
  <c r="H125" i="7" s="1"/>
  <c r="W33" i="1"/>
  <c r="Y33" i="1"/>
  <c r="AC33" i="1" s="1"/>
  <c r="G125" i="7" s="1"/>
  <c r="X125" i="7" s="1"/>
  <c r="U34" i="1"/>
  <c r="AD34" i="1" s="1"/>
  <c r="H126" i="7" s="1"/>
  <c r="W34" i="1"/>
  <c r="Y34" i="1"/>
  <c r="AC34" i="1" s="1"/>
  <c r="G126" i="7" s="1"/>
  <c r="X126" i="7" s="1"/>
  <c r="U35" i="1"/>
  <c r="AD35" i="1" s="1"/>
  <c r="H127" i="7" s="1"/>
  <c r="W35" i="1"/>
  <c r="Y35" i="1"/>
  <c r="AC35" i="1" s="1"/>
  <c r="G127" i="7" s="1"/>
  <c r="X127" i="7" s="1"/>
  <c r="U30" i="1"/>
  <c r="AD30" i="1" s="1"/>
  <c r="H122" i="7" s="1"/>
  <c r="W30" i="1"/>
  <c r="Y30" i="1"/>
  <c r="AC30" i="1" s="1"/>
  <c r="G122" i="7" s="1"/>
  <c r="X122" i="7" s="1"/>
  <c r="U29" i="1"/>
  <c r="AD29" i="1" s="1"/>
  <c r="H121" i="7" s="1"/>
  <c r="W29" i="1"/>
  <c r="U28" i="1"/>
  <c r="AD28" i="1" s="1"/>
  <c r="H120" i="7" s="1"/>
  <c r="W28" i="1"/>
  <c r="U27" i="1"/>
  <c r="AD27" i="1" s="1"/>
  <c r="H119" i="7" s="1"/>
  <c r="U26" i="1"/>
  <c r="AD26" i="1" s="1"/>
  <c r="H118" i="7" s="1"/>
  <c r="W27" i="1"/>
  <c r="Y29" i="1"/>
  <c r="AC29" i="1" s="1"/>
  <c r="G121" i="7" s="1"/>
  <c r="X121" i="7" s="1"/>
  <c r="Y28" i="1"/>
  <c r="AC28" i="1" s="1"/>
  <c r="G120" i="7" s="1"/>
  <c r="Y27" i="1"/>
  <c r="AC27" i="1" s="1"/>
  <c r="G119" i="7" s="1"/>
  <c r="X119" i="7" s="1"/>
  <c r="Y26" i="1"/>
  <c r="AC26" i="1" s="1"/>
  <c r="G118" i="7" s="1"/>
  <c r="X118" i="7" s="1"/>
  <c r="Y25" i="1"/>
  <c r="AD25" i="1" s="1"/>
  <c r="H117" i="7" s="1"/>
  <c r="Y24" i="1"/>
  <c r="AD24" i="1" s="1"/>
  <c r="H116" i="7" s="1"/>
  <c r="Y23" i="1"/>
  <c r="AD23" i="1" s="1"/>
  <c r="H115" i="7" s="1"/>
  <c r="Y22" i="1"/>
  <c r="AD22" i="1" s="1"/>
  <c r="H114" i="7" s="1"/>
  <c r="Y21" i="1"/>
  <c r="AD21" i="1" s="1"/>
  <c r="H113" i="7" s="1"/>
  <c r="Y20" i="1"/>
  <c r="AD20" i="1" s="1"/>
  <c r="H112" i="7" s="1"/>
  <c r="Y19" i="1"/>
  <c r="AD19" i="1" s="1"/>
  <c r="H111" i="7" s="1"/>
  <c r="Y18" i="1"/>
  <c r="AD18" i="1" s="1"/>
  <c r="H110" i="7" s="1"/>
  <c r="Y17" i="1"/>
  <c r="AD17" i="1" s="1"/>
  <c r="H109" i="7" s="1"/>
  <c r="Y16" i="1"/>
  <c r="AD16" i="1" s="1"/>
  <c r="H108" i="7" s="1"/>
  <c r="Y15" i="1"/>
  <c r="AD15" i="1" s="1"/>
  <c r="H107" i="7" s="1"/>
  <c r="Y14" i="1"/>
  <c r="AD14" i="1" s="1"/>
  <c r="H106" i="7" s="1"/>
  <c r="Y13" i="1"/>
  <c r="AD13" i="1" s="1"/>
  <c r="H105" i="7" s="1"/>
  <c r="Y12" i="1"/>
  <c r="AD12" i="1" s="1"/>
  <c r="H104" i="7" s="1"/>
  <c r="Y11" i="1"/>
  <c r="AD11" i="1" s="1"/>
  <c r="H103" i="7" s="1"/>
  <c r="Y10" i="1"/>
  <c r="AD10" i="1" s="1"/>
  <c r="H102" i="7" s="1"/>
  <c r="Y9" i="1"/>
  <c r="AD9" i="1" s="1"/>
  <c r="H101" i="7" s="1"/>
  <c r="X204" i="7" l="1"/>
  <c r="X206" i="7"/>
  <c r="X208" i="7"/>
  <c r="O101" i="7"/>
  <c r="Y101" i="7" s="1"/>
  <c r="AC94" i="1"/>
  <c r="G186" i="7" s="1"/>
  <c r="X186" i="7" s="1"/>
  <c r="AB9" i="1"/>
  <c r="F101" i="7" s="1"/>
  <c r="AB11" i="1"/>
  <c r="F103" i="7" s="1"/>
  <c r="AB13" i="1"/>
  <c r="F105" i="7" s="1"/>
  <c r="AB15" i="1"/>
  <c r="F107" i="7" s="1"/>
  <c r="AB17" i="1"/>
  <c r="F109" i="7" s="1"/>
  <c r="AB19" i="1"/>
  <c r="F111" i="7" s="1"/>
  <c r="AB21" i="1"/>
  <c r="F113" i="7" s="1"/>
  <c r="AB23" i="1"/>
  <c r="F115" i="7" s="1"/>
  <c r="AB25" i="1"/>
  <c r="F117" i="7" s="1"/>
  <c r="AB27" i="1"/>
  <c r="F119" i="7" s="1"/>
  <c r="AB29" i="1"/>
  <c r="F121" i="7" s="1"/>
  <c r="AB31" i="1"/>
  <c r="F123" i="7" s="1"/>
  <c r="AB33" i="1"/>
  <c r="F125" i="7" s="1"/>
  <c r="AB35" i="1"/>
  <c r="F127" i="7" s="1"/>
  <c r="AB37" i="1"/>
  <c r="F129" i="7" s="1"/>
  <c r="AB39" i="1"/>
  <c r="F131" i="7" s="1"/>
  <c r="AB41" i="1"/>
  <c r="F133" i="7" s="1"/>
  <c r="AB43" i="1"/>
  <c r="F135" i="7" s="1"/>
  <c r="AB45" i="1"/>
  <c r="F137" i="7" s="1"/>
  <c r="AB47" i="1"/>
  <c r="F139" i="7" s="1"/>
  <c r="AB49" i="1"/>
  <c r="F141" i="7" s="1"/>
  <c r="AB51" i="1"/>
  <c r="F143" i="7" s="1"/>
  <c r="W143" i="7" s="1"/>
  <c r="AB53" i="1"/>
  <c r="F145" i="7" s="1"/>
  <c r="W145" i="7" s="1"/>
  <c r="AB55" i="1"/>
  <c r="F147" i="7" s="1"/>
  <c r="W147" i="7" s="1"/>
  <c r="AB57" i="1"/>
  <c r="F149" i="7" s="1"/>
  <c r="W149" i="7" s="1"/>
  <c r="AB59" i="1"/>
  <c r="F151" i="7" s="1"/>
  <c r="W151" i="7" s="1"/>
  <c r="AB61" i="1"/>
  <c r="F153" i="7" s="1"/>
  <c r="W153" i="7" s="1"/>
  <c r="AB63" i="1"/>
  <c r="F155" i="7" s="1"/>
  <c r="W155" i="7" s="1"/>
  <c r="AB65" i="1"/>
  <c r="F157" i="7" s="1"/>
  <c r="W157" i="7" s="1"/>
  <c r="AB67" i="1"/>
  <c r="F159" i="7" s="1"/>
  <c r="W159" i="7" s="1"/>
  <c r="AB69" i="1"/>
  <c r="F161" i="7" s="1"/>
  <c r="W161" i="7" s="1"/>
  <c r="AB71" i="1"/>
  <c r="F163" i="7" s="1"/>
  <c r="W163" i="7" s="1"/>
  <c r="AB73" i="1"/>
  <c r="F165" i="7" s="1"/>
  <c r="W165" i="7" s="1"/>
  <c r="AB75" i="1"/>
  <c r="F167" i="7" s="1"/>
  <c r="W167" i="7" s="1"/>
  <c r="AB77" i="1"/>
  <c r="F169" i="7" s="1"/>
  <c r="W169" i="7" s="1"/>
  <c r="AB79" i="1"/>
  <c r="F171" i="7" s="1"/>
  <c r="W171" i="7" s="1"/>
  <c r="AB81" i="1"/>
  <c r="F173" i="7" s="1"/>
  <c r="W173" i="7" s="1"/>
  <c r="AB83" i="1"/>
  <c r="F175" i="7" s="1"/>
  <c r="W175" i="7" s="1"/>
  <c r="AB85" i="1"/>
  <c r="F177" i="7" s="1"/>
  <c r="W177" i="7" s="1"/>
  <c r="AB87" i="1"/>
  <c r="F179" i="7" s="1"/>
  <c r="W179" i="7" s="1"/>
  <c r="AB89" i="1"/>
  <c r="F181" i="7" s="1"/>
  <c r="W181" i="7" s="1"/>
  <c r="AB91" i="1"/>
  <c r="F183" i="7" s="1"/>
  <c r="W183" i="7" s="1"/>
  <c r="AB93" i="1"/>
  <c r="F185" i="7" s="1"/>
  <c r="W185" i="7" s="1"/>
  <c r="AB96" i="1"/>
  <c r="F188" i="7" s="1"/>
  <c r="AB98" i="1"/>
  <c r="F190" i="7" s="1"/>
  <c r="AB100" i="1"/>
  <c r="F192" i="7" s="1"/>
  <c r="AB102" i="1"/>
  <c r="F194" i="7" s="1"/>
  <c r="AB104" i="1"/>
  <c r="F196" i="7" s="1"/>
  <c r="AB106" i="1"/>
  <c r="F198" i="7" s="1"/>
  <c r="AB108" i="1"/>
  <c r="F200" i="7" s="1"/>
  <c r="AB110" i="1"/>
  <c r="F202" i="7" s="1"/>
  <c r="AB112" i="1"/>
  <c r="F204" i="7" s="1"/>
  <c r="AB114" i="1"/>
  <c r="F206" i="7" s="1"/>
  <c r="AB116" i="1"/>
  <c r="F208" i="7" s="1"/>
  <c r="AB118" i="1"/>
  <c r="F210" i="7" s="1"/>
  <c r="AB120" i="1"/>
  <c r="F212" i="7" s="1"/>
  <c r="AC9" i="1"/>
  <c r="G101" i="7" s="1"/>
  <c r="AC11" i="1"/>
  <c r="G103" i="7" s="1"/>
  <c r="AC13" i="1"/>
  <c r="G105" i="7" s="1"/>
  <c r="AC15" i="1"/>
  <c r="G107" i="7" s="1"/>
  <c r="AC17" i="1"/>
  <c r="G109" i="7" s="1"/>
  <c r="AC19" i="1"/>
  <c r="G111" i="7" s="1"/>
  <c r="X111" i="7" s="1"/>
  <c r="AC21" i="1"/>
  <c r="G113" i="7" s="1"/>
  <c r="X113" i="7" s="1"/>
  <c r="AC23" i="1"/>
  <c r="G115" i="7" s="1"/>
  <c r="X115" i="7" s="1"/>
  <c r="AC25" i="1"/>
  <c r="G117" i="7" s="1"/>
  <c r="X117" i="7" s="1"/>
  <c r="AC118" i="1"/>
  <c r="G210" i="7" s="1"/>
  <c r="X210" i="7" s="1"/>
  <c r="AC120" i="1"/>
  <c r="G212" i="7" s="1"/>
  <c r="X212" i="7" s="1"/>
  <c r="AD117" i="1"/>
  <c r="H209" i="7" s="1"/>
  <c r="AD119" i="1"/>
  <c r="H211" i="7" s="1"/>
  <c r="AF49" i="1"/>
  <c r="J141" i="7" s="1"/>
  <c r="AE50" i="1"/>
  <c r="I142" i="7" s="1"/>
  <c r="AG50" i="1"/>
  <c r="K142" i="7" s="1"/>
  <c r="AF51" i="1"/>
  <c r="J143" i="7" s="1"/>
  <c r="AE52" i="1"/>
  <c r="I144" i="7" s="1"/>
  <c r="AG52" i="1"/>
  <c r="K144" i="7" s="1"/>
  <c r="AF53" i="1"/>
  <c r="J145" i="7" s="1"/>
  <c r="AE54" i="1"/>
  <c r="I146" i="7" s="1"/>
  <c r="AG54" i="1"/>
  <c r="K146" i="7" s="1"/>
  <c r="AF55" i="1"/>
  <c r="J147" i="7" s="1"/>
  <c r="AE56" i="1"/>
  <c r="I148" i="7" s="1"/>
  <c r="AG56" i="1"/>
  <c r="K148" i="7" s="1"/>
  <c r="AF57" i="1"/>
  <c r="J149" i="7" s="1"/>
  <c r="AE58" i="1"/>
  <c r="I150" i="7" s="1"/>
  <c r="AG58" i="1"/>
  <c r="K150" i="7" s="1"/>
  <c r="AF59" i="1"/>
  <c r="J151" i="7" s="1"/>
  <c r="AE60" i="1"/>
  <c r="I152" i="7" s="1"/>
  <c r="AG60" i="1"/>
  <c r="K152" i="7" s="1"/>
  <c r="AF61" i="1"/>
  <c r="J153" i="7" s="1"/>
  <c r="AE62" i="1"/>
  <c r="I154" i="7" s="1"/>
  <c r="AG62" i="1"/>
  <c r="K154" i="7" s="1"/>
  <c r="AF63" i="1"/>
  <c r="J155" i="7" s="1"/>
  <c r="AE64" i="1"/>
  <c r="I156" i="7" s="1"/>
  <c r="AG64" i="1"/>
  <c r="K156" i="7" s="1"/>
  <c r="AF65" i="1"/>
  <c r="J157" i="7" s="1"/>
  <c r="AE66" i="1"/>
  <c r="I158" i="7" s="1"/>
  <c r="Z158" i="7" s="1"/>
  <c r="AG66" i="1"/>
  <c r="K158" i="7" s="1"/>
  <c r="AF67" i="1"/>
  <c r="J159" i="7" s="1"/>
  <c r="AE68" i="1"/>
  <c r="I160" i="7" s="1"/>
  <c r="Z160" i="7" s="1"/>
  <c r="AG68" i="1"/>
  <c r="K160" i="7" s="1"/>
  <c r="AF69" i="1"/>
  <c r="J161" i="7" s="1"/>
  <c r="AE70" i="1"/>
  <c r="I162" i="7" s="1"/>
  <c r="Z162" i="7" s="1"/>
  <c r="AG70" i="1"/>
  <c r="K162" i="7" s="1"/>
  <c r="AF71" i="1"/>
  <c r="J163" i="7" s="1"/>
  <c r="AE72" i="1"/>
  <c r="I164" i="7" s="1"/>
  <c r="Z164" i="7" s="1"/>
  <c r="AG72" i="1"/>
  <c r="K164" i="7" s="1"/>
  <c r="AF73" i="1"/>
  <c r="J165" i="7" s="1"/>
  <c r="AE74" i="1"/>
  <c r="I166" i="7" s="1"/>
  <c r="Z166" i="7" s="1"/>
  <c r="AG74" i="1"/>
  <c r="K166" i="7" s="1"/>
  <c r="AF75" i="1"/>
  <c r="J167" i="7" s="1"/>
  <c r="AE76" i="1"/>
  <c r="I168" i="7" s="1"/>
  <c r="Z168" i="7" s="1"/>
  <c r="AG76" i="1"/>
  <c r="K168" i="7" s="1"/>
  <c r="AF77" i="1"/>
  <c r="J169" i="7" s="1"/>
  <c r="AE78" i="1"/>
  <c r="I170" i="7" s="1"/>
  <c r="Z170" i="7" s="1"/>
  <c r="AG78" i="1"/>
  <c r="K170" i="7" s="1"/>
  <c r="AF79" i="1"/>
  <c r="J171" i="7" s="1"/>
  <c r="AE80" i="1"/>
  <c r="I172" i="7" s="1"/>
  <c r="Z172" i="7" s="1"/>
  <c r="AG80" i="1"/>
  <c r="K172" i="7" s="1"/>
  <c r="AF81" i="1"/>
  <c r="J173" i="7" s="1"/>
  <c r="AE82" i="1"/>
  <c r="I174" i="7" s="1"/>
  <c r="Z174" i="7" s="1"/>
  <c r="AG82" i="1"/>
  <c r="K174" i="7" s="1"/>
  <c r="AF83" i="1"/>
  <c r="J175" i="7" s="1"/>
  <c r="AE84" i="1"/>
  <c r="I176" i="7" s="1"/>
  <c r="Z176" i="7" s="1"/>
  <c r="AG84" i="1"/>
  <c r="K176" i="7" s="1"/>
  <c r="AF85" i="1"/>
  <c r="J177" i="7" s="1"/>
  <c r="AE86" i="1"/>
  <c r="I178" i="7" s="1"/>
  <c r="Z178" i="7" s="1"/>
  <c r="AG86" i="1"/>
  <c r="K178" i="7" s="1"/>
  <c r="AF87" i="1"/>
  <c r="J179" i="7" s="1"/>
  <c r="AE88" i="1"/>
  <c r="I180" i="7" s="1"/>
  <c r="Z180" i="7" s="1"/>
  <c r="AG88" i="1"/>
  <c r="K180" i="7" s="1"/>
  <c r="AF89" i="1"/>
  <c r="J181" i="7" s="1"/>
  <c r="AE90" i="1"/>
  <c r="I182" i="7" s="1"/>
  <c r="Z182" i="7" s="1"/>
  <c r="AG90" i="1"/>
  <c r="K182" i="7" s="1"/>
  <c r="AF91" i="1"/>
  <c r="J183" i="7" s="1"/>
  <c r="AE92" i="1"/>
  <c r="I184" i="7" s="1"/>
  <c r="Z184" i="7" s="1"/>
  <c r="AG92" i="1"/>
  <c r="K184" i="7" s="1"/>
  <c r="AF93" i="1"/>
  <c r="J185" i="7" s="1"/>
  <c r="AE94" i="1"/>
  <c r="I186" i="7" s="1"/>
  <c r="Z186" i="7" s="1"/>
  <c r="AG94" i="1"/>
  <c r="K186" i="7" s="1"/>
  <c r="AF95" i="1"/>
  <c r="J187" i="7" s="1"/>
  <c r="AE96" i="1"/>
  <c r="I188" i="7" s="1"/>
  <c r="Z188" i="7" s="1"/>
  <c r="AG96" i="1"/>
  <c r="K188" i="7" s="1"/>
  <c r="AF97" i="1"/>
  <c r="J189" i="7" s="1"/>
  <c r="AE98" i="1"/>
  <c r="I190" i="7" s="1"/>
  <c r="Z190" i="7" s="1"/>
  <c r="AG98" i="1"/>
  <c r="K190" i="7" s="1"/>
  <c r="AF99" i="1"/>
  <c r="J191" i="7" s="1"/>
  <c r="AE100" i="1"/>
  <c r="I192" i="7" s="1"/>
  <c r="Z192" i="7" s="1"/>
  <c r="AG100" i="1"/>
  <c r="K192" i="7" s="1"/>
  <c r="AF101" i="1"/>
  <c r="J193" i="7" s="1"/>
  <c r="AE102" i="1"/>
  <c r="I194" i="7" s="1"/>
  <c r="Z194" i="7" s="1"/>
  <c r="AG102" i="1"/>
  <c r="K194" i="7" s="1"/>
  <c r="AF103" i="1"/>
  <c r="J195" i="7" s="1"/>
  <c r="AE104" i="1"/>
  <c r="I196" i="7" s="1"/>
  <c r="Z196" i="7" s="1"/>
  <c r="AG104" i="1"/>
  <c r="K196" i="7" s="1"/>
  <c r="AF105" i="1"/>
  <c r="J197" i="7" s="1"/>
  <c r="AE106" i="1"/>
  <c r="I198" i="7" s="1"/>
  <c r="Z198" i="7" s="1"/>
  <c r="AG106" i="1"/>
  <c r="K198" i="7" s="1"/>
  <c r="AF107" i="1"/>
  <c r="J199" i="7" s="1"/>
  <c r="AE108" i="1"/>
  <c r="I200" i="7" s="1"/>
  <c r="Z200" i="7" s="1"/>
  <c r="AG108" i="1"/>
  <c r="K200" i="7" s="1"/>
  <c r="AF109" i="1"/>
  <c r="J201" i="7" s="1"/>
  <c r="AE110" i="1"/>
  <c r="I202" i="7" s="1"/>
  <c r="Z202" i="7" s="1"/>
  <c r="AG110" i="1"/>
  <c r="K202" i="7" s="1"/>
  <c r="AF111" i="1"/>
  <c r="J203" i="7" s="1"/>
  <c r="AE112" i="1"/>
  <c r="I204" i="7" s="1"/>
  <c r="Z204" i="7" s="1"/>
  <c r="AG112" i="1"/>
  <c r="K204" i="7" s="1"/>
  <c r="AF113" i="1"/>
  <c r="J205" i="7" s="1"/>
  <c r="AA205" i="7" s="1"/>
  <c r="AE114" i="1"/>
  <c r="I206" i="7" s="1"/>
  <c r="Z206" i="7" s="1"/>
  <c r="AG114" i="1"/>
  <c r="K206" i="7" s="1"/>
  <c r="AF115" i="1"/>
  <c r="J207" i="7" s="1"/>
  <c r="AE116" i="1"/>
  <c r="I208" i="7" s="1"/>
  <c r="Z208" i="7" s="1"/>
  <c r="AG116" i="1"/>
  <c r="K208" i="7" s="1"/>
  <c r="AF117" i="1"/>
  <c r="J209" i="7" s="1"/>
  <c r="AA209" i="7" s="1"/>
  <c r="AE118" i="1"/>
  <c r="I210" i="7" s="1"/>
  <c r="Z210" i="7" s="1"/>
  <c r="AG118" i="1"/>
  <c r="K210" i="7" s="1"/>
  <c r="AF119" i="1"/>
  <c r="J211" i="7" s="1"/>
  <c r="AE120" i="1"/>
  <c r="I212" i="7" s="1"/>
  <c r="Z212" i="7" s="1"/>
  <c r="AG120" i="1"/>
  <c r="K212" i="7" s="1"/>
  <c r="S24" i="5"/>
  <c r="M116" i="7" s="1"/>
  <c r="U24" i="5"/>
  <c r="S22" i="5"/>
  <c r="M114" i="7" s="1"/>
  <c r="U22" i="5"/>
  <c r="S20" i="5"/>
  <c r="M112" i="7" s="1"/>
  <c r="U20" i="5"/>
  <c r="T18" i="5"/>
  <c r="N110" i="7" s="1"/>
  <c r="S18" i="5"/>
  <c r="M110" i="7" s="1"/>
  <c r="U18" i="5"/>
  <c r="T16" i="5"/>
  <c r="N108" i="7" s="1"/>
  <c r="S16" i="5"/>
  <c r="M108" i="7" s="1"/>
  <c r="U16" i="5"/>
  <c r="T14" i="5"/>
  <c r="N106" i="7" s="1"/>
  <c r="S14" i="5"/>
  <c r="M106" i="7" s="1"/>
  <c r="U14" i="5"/>
  <c r="T12" i="5"/>
  <c r="N104" i="7" s="1"/>
  <c r="S12" i="5"/>
  <c r="M104" i="7" s="1"/>
  <c r="U12" i="5"/>
  <c r="T10" i="5"/>
  <c r="N102" i="7" s="1"/>
  <c r="S10" i="5"/>
  <c r="M102" i="7" s="1"/>
  <c r="U10" i="5"/>
  <c r="V9" i="5" s="1"/>
  <c r="P101" i="7" s="1"/>
  <c r="AD120" i="5"/>
  <c r="AC120" i="5"/>
  <c r="AE120" i="5"/>
  <c r="Z120" i="5"/>
  <c r="Y120" i="5"/>
  <c r="R212" i="7" s="1"/>
  <c r="AA212" i="7" s="1"/>
  <c r="AC119" i="5"/>
  <c r="AE119" i="5"/>
  <c r="AD119" i="5"/>
  <c r="Y119" i="5"/>
  <c r="R211" i="7" s="1"/>
  <c r="Z119" i="5"/>
  <c r="S211" i="7" s="1"/>
  <c r="AB211" i="7" s="1"/>
  <c r="AD118" i="5"/>
  <c r="AC118" i="5"/>
  <c r="AE118" i="5"/>
  <c r="Z118" i="5"/>
  <c r="S210" i="7" s="1"/>
  <c r="Y118" i="5"/>
  <c r="R210" i="7" s="1"/>
  <c r="AA210" i="7" s="1"/>
  <c r="AC117" i="5"/>
  <c r="AE117" i="5"/>
  <c r="AD117" i="5"/>
  <c r="Y117" i="5"/>
  <c r="R209" i="7" s="1"/>
  <c r="Z117" i="5"/>
  <c r="S209" i="7" s="1"/>
  <c r="AB209" i="7" s="1"/>
  <c r="AD116" i="5"/>
  <c r="AC116" i="5"/>
  <c r="AE116" i="5"/>
  <c r="Z116" i="5"/>
  <c r="S208" i="7" s="1"/>
  <c r="Y116" i="5"/>
  <c r="R208" i="7" s="1"/>
  <c r="AA208" i="7" s="1"/>
  <c r="AC115" i="5"/>
  <c r="AE115" i="5"/>
  <c r="AD115" i="5"/>
  <c r="Y115" i="5"/>
  <c r="R207" i="7" s="1"/>
  <c r="Z115" i="5"/>
  <c r="S207" i="7" s="1"/>
  <c r="AB207" i="7" s="1"/>
  <c r="AD114" i="5"/>
  <c r="AC114" i="5"/>
  <c r="AE114" i="5"/>
  <c r="Z114" i="5"/>
  <c r="S206" i="7" s="1"/>
  <c r="Y114" i="5"/>
  <c r="R206" i="7" s="1"/>
  <c r="AA206" i="7" s="1"/>
  <c r="AC113" i="5"/>
  <c r="AE113" i="5"/>
  <c r="AD113" i="5"/>
  <c r="Y113" i="5"/>
  <c r="R205" i="7" s="1"/>
  <c r="Z113" i="5"/>
  <c r="S205" i="7" s="1"/>
  <c r="AB205" i="7" s="1"/>
  <c r="AD112" i="5"/>
  <c r="AC112" i="5"/>
  <c r="AE112" i="5"/>
  <c r="Z112" i="5"/>
  <c r="S204" i="7" s="1"/>
  <c r="Y112" i="5"/>
  <c r="R204" i="7" s="1"/>
  <c r="AA204" i="7" s="1"/>
  <c r="AC111" i="5"/>
  <c r="AE111" i="5"/>
  <c r="AD111" i="5"/>
  <c r="Y111" i="5"/>
  <c r="R203" i="7" s="1"/>
  <c r="Z111" i="5"/>
  <c r="S203" i="7" s="1"/>
  <c r="AB203" i="7" s="1"/>
  <c r="AD110" i="5"/>
  <c r="AC110" i="5"/>
  <c r="AE110" i="5"/>
  <c r="Z110" i="5"/>
  <c r="S202" i="7" s="1"/>
  <c r="Y110" i="5"/>
  <c r="R202" i="7" s="1"/>
  <c r="AA202" i="7" s="1"/>
  <c r="AC109" i="5"/>
  <c r="AE109" i="5"/>
  <c r="AD109" i="5"/>
  <c r="Y109" i="5"/>
  <c r="R201" i="7" s="1"/>
  <c r="Z109" i="5"/>
  <c r="S201" i="7" s="1"/>
  <c r="AB201" i="7" s="1"/>
  <c r="AD108" i="5"/>
  <c r="AC108" i="5"/>
  <c r="AE108" i="5"/>
  <c r="Z108" i="5"/>
  <c r="S200" i="7" s="1"/>
  <c r="Y108" i="5"/>
  <c r="R200" i="7" s="1"/>
  <c r="AA200" i="7" s="1"/>
  <c r="AC107" i="5"/>
  <c r="AE107" i="5"/>
  <c r="AD107" i="5"/>
  <c r="Y107" i="5"/>
  <c r="R199" i="7" s="1"/>
  <c r="Z107" i="5"/>
  <c r="S199" i="7" s="1"/>
  <c r="AB199" i="7" s="1"/>
  <c r="AD106" i="5"/>
  <c r="AC106" i="5"/>
  <c r="AE106" i="5"/>
  <c r="Z106" i="5"/>
  <c r="S198" i="7" s="1"/>
  <c r="Y106" i="5"/>
  <c r="R198" i="7" s="1"/>
  <c r="AA198" i="7" s="1"/>
  <c r="AC105" i="5"/>
  <c r="AE105" i="5"/>
  <c r="AD105" i="5"/>
  <c r="Y105" i="5"/>
  <c r="R197" i="7" s="1"/>
  <c r="Z105" i="5"/>
  <c r="S197" i="7" s="1"/>
  <c r="AB197" i="7" s="1"/>
  <c r="AD104" i="5"/>
  <c r="AC104" i="5"/>
  <c r="AE104" i="5"/>
  <c r="Z104" i="5"/>
  <c r="S196" i="7" s="1"/>
  <c r="Y104" i="5"/>
  <c r="R196" i="7" s="1"/>
  <c r="AA196" i="7" s="1"/>
  <c r="AC103" i="5"/>
  <c r="AE103" i="5"/>
  <c r="AD103" i="5"/>
  <c r="Y103" i="5"/>
  <c r="R195" i="7" s="1"/>
  <c r="Z103" i="5"/>
  <c r="S195" i="7" s="1"/>
  <c r="AB195" i="7" s="1"/>
  <c r="AD102" i="5"/>
  <c r="AC102" i="5"/>
  <c r="AE102" i="5"/>
  <c r="Z102" i="5"/>
  <c r="S194" i="7" s="1"/>
  <c r="Y102" i="5"/>
  <c r="R194" i="7" s="1"/>
  <c r="AA194" i="7" s="1"/>
  <c r="AC101" i="5"/>
  <c r="AE101" i="5"/>
  <c r="AD101" i="5"/>
  <c r="Y101" i="5"/>
  <c r="R193" i="7" s="1"/>
  <c r="Z101" i="5"/>
  <c r="S193" i="7" s="1"/>
  <c r="AB193" i="7" s="1"/>
  <c r="AD100" i="5"/>
  <c r="AC100" i="5"/>
  <c r="AE100" i="5"/>
  <c r="Z100" i="5"/>
  <c r="S192" i="7" s="1"/>
  <c r="Y100" i="5"/>
  <c r="R192" i="7" s="1"/>
  <c r="AA192" i="7" s="1"/>
  <c r="AC99" i="5"/>
  <c r="AE99" i="5"/>
  <c r="AD99" i="5"/>
  <c r="Y99" i="5"/>
  <c r="R191" i="7" s="1"/>
  <c r="Z99" i="5"/>
  <c r="S191" i="7" s="1"/>
  <c r="AB191" i="7" s="1"/>
  <c r="AD98" i="5"/>
  <c r="AC98" i="5"/>
  <c r="AE98" i="5"/>
  <c r="Z98" i="5"/>
  <c r="S190" i="7" s="1"/>
  <c r="Y98" i="5"/>
  <c r="R190" i="7" s="1"/>
  <c r="AA190" i="7" s="1"/>
  <c r="AC97" i="5"/>
  <c r="AE97" i="5"/>
  <c r="AD97" i="5"/>
  <c r="Y97" i="5"/>
  <c r="R189" i="7" s="1"/>
  <c r="Z97" i="5"/>
  <c r="S189" i="7" s="1"/>
  <c r="AB189" i="7" s="1"/>
  <c r="AD96" i="5"/>
  <c r="AC96" i="5"/>
  <c r="AE96" i="5"/>
  <c r="Z96" i="5"/>
  <c r="S188" i="7" s="1"/>
  <c r="Y96" i="5"/>
  <c r="R188" i="7" s="1"/>
  <c r="AA188" i="7" s="1"/>
  <c r="AC95" i="5"/>
  <c r="AE95" i="5"/>
  <c r="AD95" i="5"/>
  <c r="Y95" i="5"/>
  <c r="R187" i="7" s="1"/>
  <c r="Z95" i="5"/>
  <c r="S187" i="7" s="1"/>
  <c r="AB187" i="7" s="1"/>
  <c r="AD94" i="5"/>
  <c r="AC94" i="5"/>
  <c r="AE94" i="5"/>
  <c r="Z94" i="5"/>
  <c r="S186" i="7" s="1"/>
  <c r="Y94" i="5"/>
  <c r="R186" i="7" s="1"/>
  <c r="AA186" i="7" s="1"/>
  <c r="AC93" i="5"/>
  <c r="AE93" i="5"/>
  <c r="AD93" i="5"/>
  <c r="Y93" i="5"/>
  <c r="R185" i="7" s="1"/>
  <c r="Z93" i="5"/>
  <c r="S185" i="7" s="1"/>
  <c r="AB185" i="7" s="1"/>
  <c r="AD92" i="5"/>
  <c r="AC92" i="5"/>
  <c r="AE92" i="5"/>
  <c r="Z92" i="5"/>
  <c r="S184" i="7" s="1"/>
  <c r="Y92" i="5"/>
  <c r="R184" i="7" s="1"/>
  <c r="AA184" i="7" s="1"/>
  <c r="AC91" i="5"/>
  <c r="AE91" i="5"/>
  <c r="AD91" i="5"/>
  <c r="Y91" i="5"/>
  <c r="R183" i="7" s="1"/>
  <c r="Z91" i="5"/>
  <c r="S183" i="7" s="1"/>
  <c r="AB183" i="7" s="1"/>
  <c r="AD90" i="5"/>
  <c r="AC90" i="5"/>
  <c r="AE90" i="5"/>
  <c r="Z90" i="5"/>
  <c r="S182" i="7" s="1"/>
  <c r="Y90" i="5"/>
  <c r="R182" i="7" s="1"/>
  <c r="AA182" i="7" s="1"/>
  <c r="AC89" i="5"/>
  <c r="AE89" i="5"/>
  <c r="AD89" i="5"/>
  <c r="Y89" i="5"/>
  <c r="R181" i="7" s="1"/>
  <c r="Z89" i="5"/>
  <c r="S181" i="7" s="1"/>
  <c r="AB181" i="7" s="1"/>
  <c r="AD88" i="5"/>
  <c r="AC88" i="5"/>
  <c r="AE88" i="5"/>
  <c r="Z88" i="5"/>
  <c r="S180" i="7" s="1"/>
  <c r="Y88" i="5"/>
  <c r="R180" i="7" s="1"/>
  <c r="AA180" i="7" s="1"/>
  <c r="AC87" i="5"/>
  <c r="AE87" i="5"/>
  <c r="AD87" i="5"/>
  <c r="Y87" i="5"/>
  <c r="R179" i="7" s="1"/>
  <c r="Z87" i="5"/>
  <c r="S179" i="7" s="1"/>
  <c r="AB179" i="7" s="1"/>
  <c r="AD86" i="5"/>
  <c r="AC86" i="5"/>
  <c r="AE86" i="5"/>
  <c r="Z86" i="5"/>
  <c r="S178" i="7" s="1"/>
  <c r="Y86" i="5"/>
  <c r="R178" i="7" s="1"/>
  <c r="AA178" i="7" s="1"/>
  <c r="AC85" i="5"/>
  <c r="AE85" i="5"/>
  <c r="AD85" i="5"/>
  <c r="Y85" i="5"/>
  <c r="R177" i="7" s="1"/>
  <c r="X85" i="5"/>
  <c r="Q177" i="7" s="1"/>
  <c r="Z85" i="5"/>
  <c r="S177" i="7" s="1"/>
  <c r="AB177" i="7" s="1"/>
  <c r="AD84" i="5"/>
  <c r="AC84" i="5"/>
  <c r="AE84" i="5"/>
  <c r="Z84" i="5"/>
  <c r="S176" i="7" s="1"/>
  <c r="Y84" i="5"/>
  <c r="R176" i="7" s="1"/>
  <c r="AA176" i="7" s="1"/>
  <c r="AC83" i="5"/>
  <c r="AE83" i="5"/>
  <c r="AD83" i="5"/>
  <c r="Y83" i="5"/>
  <c r="R175" i="7" s="1"/>
  <c r="Z83" i="5"/>
  <c r="S175" i="7" s="1"/>
  <c r="AB175" i="7" s="1"/>
  <c r="AD82" i="5"/>
  <c r="AC82" i="5"/>
  <c r="AE82" i="5"/>
  <c r="Z82" i="5"/>
  <c r="S174" i="7" s="1"/>
  <c r="Y82" i="5"/>
  <c r="R174" i="7" s="1"/>
  <c r="AA174" i="7" s="1"/>
  <c r="AC81" i="5"/>
  <c r="AE81" i="5"/>
  <c r="AD81" i="5"/>
  <c r="Y81" i="5"/>
  <c r="R173" i="7" s="1"/>
  <c r="Z81" i="5"/>
  <c r="S173" i="7" s="1"/>
  <c r="AB173" i="7" s="1"/>
  <c r="AD80" i="5"/>
  <c r="AC80" i="5"/>
  <c r="AE80" i="5"/>
  <c r="Z80" i="5"/>
  <c r="S172" i="7" s="1"/>
  <c r="Y80" i="5"/>
  <c r="R172" i="7" s="1"/>
  <c r="AA172" i="7" s="1"/>
  <c r="AC79" i="5"/>
  <c r="AE79" i="5"/>
  <c r="AD79" i="5"/>
  <c r="Y79" i="5"/>
  <c r="R171" i="7" s="1"/>
  <c r="Z79" i="5"/>
  <c r="S171" i="7" s="1"/>
  <c r="AB171" i="7" s="1"/>
  <c r="AC78" i="5"/>
  <c r="AD78" i="5"/>
  <c r="AE78" i="5"/>
  <c r="Z78" i="5"/>
  <c r="S170" i="7" s="1"/>
  <c r="Y78" i="5"/>
  <c r="R170" i="7" s="1"/>
  <c r="AA170" i="7" s="1"/>
  <c r="AD77" i="5"/>
  <c r="AC77" i="5"/>
  <c r="AE77" i="5"/>
  <c r="Y77" i="5"/>
  <c r="R169" i="7" s="1"/>
  <c r="Z77" i="5"/>
  <c r="S169" i="7" s="1"/>
  <c r="AB169" i="7" s="1"/>
  <c r="AC76" i="5"/>
  <c r="AE76" i="5"/>
  <c r="AD76" i="5"/>
  <c r="Z76" i="5"/>
  <c r="S168" i="7" s="1"/>
  <c r="Y76" i="5"/>
  <c r="R168" i="7" s="1"/>
  <c r="AA168" i="7" s="1"/>
  <c r="AD75" i="5"/>
  <c r="AE75" i="5"/>
  <c r="AC75" i="5"/>
  <c r="Y75" i="5"/>
  <c r="R167" i="7" s="1"/>
  <c r="X75" i="5"/>
  <c r="Q167" i="7" s="1"/>
  <c r="Z75" i="5"/>
  <c r="S167" i="7" s="1"/>
  <c r="AB167" i="7" s="1"/>
  <c r="AC74" i="5"/>
  <c r="AE74" i="5"/>
  <c r="AD74" i="5"/>
  <c r="Z74" i="5"/>
  <c r="S166" i="7" s="1"/>
  <c r="Y74" i="5"/>
  <c r="R166" i="7" s="1"/>
  <c r="AA166" i="7" s="1"/>
  <c r="AD73" i="5"/>
  <c r="AC73" i="5"/>
  <c r="AE73" i="5"/>
  <c r="Y73" i="5"/>
  <c r="R165" i="7" s="1"/>
  <c r="Z73" i="5"/>
  <c r="S165" i="7" s="1"/>
  <c r="AB165" i="7" s="1"/>
  <c r="AC72" i="5"/>
  <c r="AE72" i="5"/>
  <c r="AD72" i="5"/>
  <c r="Z72" i="5"/>
  <c r="S164" i="7" s="1"/>
  <c r="Y72" i="5"/>
  <c r="R164" i="7" s="1"/>
  <c r="AA164" i="7" s="1"/>
  <c r="AD71" i="5"/>
  <c r="AE71" i="5"/>
  <c r="AC71" i="5"/>
  <c r="Y71" i="5"/>
  <c r="R163" i="7" s="1"/>
  <c r="Z71" i="5"/>
  <c r="S163" i="7" s="1"/>
  <c r="AB163" i="7" s="1"/>
  <c r="AC70" i="5"/>
  <c r="AE70" i="5"/>
  <c r="AD70" i="5"/>
  <c r="Z70" i="5"/>
  <c r="S162" i="7" s="1"/>
  <c r="Y70" i="5"/>
  <c r="R162" i="7" s="1"/>
  <c r="AA162" i="7" s="1"/>
  <c r="AD69" i="5"/>
  <c r="AC69" i="5"/>
  <c r="AE69" i="5"/>
  <c r="Y69" i="5"/>
  <c r="R161" i="7" s="1"/>
  <c r="Z69" i="5"/>
  <c r="S161" i="7" s="1"/>
  <c r="AB161" i="7" s="1"/>
  <c r="AC68" i="5"/>
  <c r="AE68" i="5"/>
  <c r="AD68" i="5"/>
  <c r="Z68" i="5"/>
  <c r="S160" i="7" s="1"/>
  <c r="Y68" i="5"/>
  <c r="R160" i="7" s="1"/>
  <c r="AA160" i="7" s="1"/>
  <c r="AD67" i="5"/>
  <c r="AE67" i="5"/>
  <c r="AC67" i="5"/>
  <c r="Y67" i="5"/>
  <c r="R159" i="7" s="1"/>
  <c r="Z67" i="5"/>
  <c r="S159" i="7" s="1"/>
  <c r="AB159" i="7" s="1"/>
  <c r="AC66" i="5"/>
  <c r="AE66" i="5"/>
  <c r="AD66" i="5"/>
  <c r="Z66" i="5"/>
  <c r="S158" i="7" s="1"/>
  <c r="Y66" i="5"/>
  <c r="R158" i="7" s="1"/>
  <c r="AA158" i="7" s="1"/>
  <c r="AD65" i="5"/>
  <c r="AC65" i="5"/>
  <c r="AE65" i="5"/>
  <c r="Y65" i="5"/>
  <c r="R157" i="7" s="1"/>
  <c r="X65" i="5"/>
  <c r="Q157" i="7" s="1"/>
  <c r="Z65" i="5"/>
  <c r="S157" i="7" s="1"/>
  <c r="AB157" i="7" s="1"/>
  <c r="AC64" i="5"/>
  <c r="AE64" i="5"/>
  <c r="AD64" i="5"/>
  <c r="X64" i="5"/>
  <c r="Q156" i="7" s="1"/>
  <c r="Z64" i="5"/>
  <c r="S156" i="7" s="1"/>
  <c r="Y64" i="5"/>
  <c r="R156" i="7" s="1"/>
  <c r="AA156" i="7" s="1"/>
  <c r="AD63" i="5"/>
  <c r="AE63" i="5"/>
  <c r="AC63" i="5"/>
  <c r="Y63" i="5"/>
  <c r="R155" i="7" s="1"/>
  <c r="X63" i="5"/>
  <c r="Q155" i="7" s="1"/>
  <c r="Z63" i="5"/>
  <c r="S155" i="7" s="1"/>
  <c r="AB155" i="7" s="1"/>
  <c r="AC62" i="5"/>
  <c r="AE62" i="5"/>
  <c r="AD62" i="5"/>
  <c r="X62" i="5"/>
  <c r="Q154" i="7" s="1"/>
  <c r="Z62" i="5"/>
  <c r="S154" i="7" s="1"/>
  <c r="Y62" i="5"/>
  <c r="R154" i="7" s="1"/>
  <c r="AA154" i="7" s="1"/>
  <c r="AD61" i="5"/>
  <c r="AC61" i="5"/>
  <c r="AE61" i="5"/>
  <c r="Y61" i="5"/>
  <c r="R153" i="7" s="1"/>
  <c r="X61" i="5"/>
  <c r="Q153" i="7" s="1"/>
  <c r="Z61" i="5"/>
  <c r="S153" i="7" s="1"/>
  <c r="AB153" i="7" s="1"/>
  <c r="AC60" i="5"/>
  <c r="AE60" i="5"/>
  <c r="AD60" i="5"/>
  <c r="X60" i="5"/>
  <c r="Q152" i="7" s="1"/>
  <c r="Z60" i="5"/>
  <c r="S152" i="7" s="1"/>
  <c r="Y60" i="5"/>
  <c r="R152" i="7" s="1"/>
  <c r="AA152" i="7" s="1"/>
  <c r="AD59" i="5"/>
  <c r="AE59" i="5"/>
  <c r="AC59" i="5"/>
  <c r="Y59" i="5"/>
  <c r="R151" i="7" s="1"/>
  <c r="X59" i="5"/>
  <c r="Q151" i="7" s="1"/>
  <c r="Z59" i="5"/>
  <c r="S151" i="7" s="1"/>
  <c r="AB151" i="7" s="1"/>
  <c r="AC58" i="5"/>
  <c r="AE58" i="5"/>
  <c r="AD58" i="5"/>
  <c r="X58" i="5"/>
  <c r="Q150" i="7" s="1"/>
  <c r="Z58" i="5"/>
  <c r="S150" i="7" s="1"/>
  <c r="Y58" i="5"/>
  <c r="R150" i="7" s="1"/>
  <c r="AA150" i="7" s="1"/>
  <c r="AD57" i="5"/>
  <c r="AC57" i="5"/>
  <c r="AE57" i="5"/>
  <c r="Y57" i="5"/>
  <c r="R149" i="7" s="1"/>
  <c r="X57" i="5"/>
  <c r="Q149" i="7" s="1"/>
  <c r="Z57" i="5"/>
  <c r="S149" i="7" s="1"/>
  <c r="AB149" i="7" s="1"/>
  <c r="AC56" i="5"/>
  <c r="AE56" i="5"/>
  <c r="AD56" i="5"/>
  <c r="X56" i="5"/>
  <c r="Q148" i="7" s="1"/>
  <c r="Z56" i="5"/>
  <c r="S148" i="7" s="1"/>
  <c r="Y56" i="5"/>
  <c r="R148" i="7" s="1"/>
  <c r="AA148" i="7" s="1"/>
  <c r="AD55" i="5"/>
  <c r="AE55" i="5"/>
  <c r="AC55" i="5"/>
  <c r="Y55" i="5"/>
  <c r="R147" i="7" s="1"/>
  <c r="X55" i="5"/>
  <c r="Q147" i="7" s="1"/>
  <c r="Z55" i="5"/>
  <c r="S147" i="7" s="1"/>
  <c r="AB147" i="7" s="1"/>
  <c r="AC54" i="5"/>
  <c r="AE54" i="5"/>
  <c r="AD54" i="5"/>
  <c r="X54" i="5"/>
  <c r="Q146" i="7" s="1"/>
  <c r="Z54" i="5"/>
  <c r="S146" i="7" s="1"/>
  <c r="Y54" i="5"/>
  <c r="R146" i="7" s="1"/>
  <c r="AA146" i="7" s="1"/>
  <c r="AD53" i="5"/>
  <c r="AC53" i="5"/>
  <c r="AE53" i="5"/>
  <c r="Y53" i="5"/>
  <c r="R145" i="7" s="1"/>
  <c r="X53" i="5"/>
  <c r="Q145" i="7" s="1"/>
  <c r="Z53" i="5"/>
  <c r="S145" i="7" s="1"/>
  <c r="AB145" i="7" s="1"/>
  <c r="AC52" i="5"/>
  <c r="AE52" i="5"/>
  <c r="AD52" i="5"/>
  <c r="X52" i="5"/>
  <c r="Q144" i="7" s="1"/>
  <c r="Z52" i="5"/>
  <c r="S144" i="7" s="1"/>
  <c r="Y52" i="5"/>
  <c r="R144" i="7" s="1"/>
  <c r="AA144" i="7" s="1"/>
  <c r="AD51" i="5"/>
  <c r="AE51" i="5"/>
  <c r="AC51" i="5"/>
  <c r="Y51" i="5"/>
  <c r="R143" i="7" s="1"/>
  <c r="X51" i="5"/>
  <c r="Q143" i="7" s="1"/>
  <c r="Z51" i="5"/>
  <c r="S143" i="7" s="1"/>
  <c r="AB143" i="7" s="1"/>
  <c r="AC50" i="5"/>
  <c r="AE50" i="5"/>
  <c r="AD50" i="5"/>
  <c r="X50" i="5"/>
  <c r="Q142" i="7" s="1"/>
  <c r="Z50" i="5"/>
  <c r="S142" i="7" s="1"/>
  <c r="Y50" i="5"/>
  <c r="R142" i="7" s="1"/>
  <c r="AA142" i="7" s="1"/>
  <c r="AD49" i="5"/>
  <c r="AC49" i="5"/>
  <c r="AE49" i="5"/>
  <c r="Y49" i="5"/>
  <c r="R141" i="7" s="1"/>
  <c r="X49" i="5"/>
  <c r="Q141" i="7" s="1"/>
  <c r="Z49" i="5"/>
  <c r="AC48" i="5"/>
  <c r="AE48" i="5"/>
  <c r="AD48" i="5"/>
  <c r="X48" i="5"/>
  <c r="Q140" i="7" s="1"/>
  <c r="Z48" i="5"/>
  <c r="Y48" i="5"/>
  <c r="R140" i="7" s="1"/>
  <c r="AD47" i="5"/>
  <c r="AE47" i="5"/>
  <c r="AC47" i="5"/>
  <c r="Y47" i="5"/>
  <c r="R139" i="7" s="1"/>
  <c r="X47" i="5"/>
  <c r="Q139" i="7" s="1"/>
  <c r="Z47" i="5"/>
  <c r="AC46" i="5"/>
  <c r="AE46" i="5"/>
  <c r="AD46" i="5"/>
  <c r="X46" i="5"/>
  <c r="Q138" i="7" s="1"/>
  <c r="Z46" i="5"/>
  <c r="Y46" i="5"/>
  <c r="R138" i="7" s="1"/>
  <c r="AD45" i="5"/>
  <c r="AC45" i="5"/>
  <c r="AE45" i="5"/>
  <c r="AD43" i="5"/>
  <c r="AE43" i="5"/>
  <c r="AC43" i="5"/>
  <c r="AD41" i="5"/>
  <c r="AC41" i="5"/>
  <c r="AE41" i="5"/>
  <c r="AD39" i="5"/>
  <c r="AE39" i="5"/>
  <c r="AC39" i="5"/>
  <c r="AD37" i="5"/>
  <c r="AC37" i="5"/>
  <c r="AE37" i="5"/>
  <c r="AD35" i="5"/>
  <c r="AE35" i="5"/>
  <c r="AC35" i="5"/>
  <c r="AD33" i="5"/>
  <c r="AC33" i="5"/>
  <c r="AE33" i="5"/>
  <c r="AD31" i="5"/>
  <c r="AE31" i="5"/>
  <c r="AC31" i="5"/>
  <c r="AD29" i="5"/>
  <c r="AC29" i="5"/>
  <c r="AE29" i="5"/>
  <c r="AD27" i="5"/>
  <c r="AC27" i="5"/>
  <c r="AE27" i="5"/>
  <c r="T9" i="5"/>
  <c r="N101" i="7" s="1"/>
  <c r="U120" i="5"/>
  <c r="S120" i="5"/>
  <c r="M212" i="7" s="1"/>
  <c r="T119" i="5"/>
  <c r="N211" i="7" s="1"/>
  <c r="X211" i="7" s="1"/>
  <c r="U118" i="5"/>
  <c r="S118" i="5"/>
  <c r="M210" i="7" s="1"/>
  <c r="T117" i="5"/>
  <c r="N209" i="7" s="1"/>
  <c r="X209" i="7" s="1"/>
  <c r="U116" i="5"/>
  <c r="S116" i="5"/>
  <c r="M208" i="7" s="1"/>
  <c r="T115" i="5"/>
  <c r="N207" i="7" s="1"/>
  <c r="X207" i="7" s="1"/>
  <c r="U114" i="5"/>
  <c r="S114" i="5"/>
  <c r="M206" i="7" s="1"/>
  <c r="T113" i="5"/>
  <c r="N205" i="7" s="1"/>
  <c r="X205" i="7" s="1"/>
  <c r="U112" i="5"/>
  <c r="S112" i="5"/>
  <c r="M204" i="7" s="1"/>
  <c r="T111" i="5"/>
  <c r="N203" i="7" s="1"/>
  <c r="X203" i="7" s="1"/>
  <c r="U110" i="5"/>
  <c r="S110" i="5"/>
  <c r="M202" i="7" s="1"/>
  <c r="T109" i="5"/>
  <c r="N201" i="7" s="1"/>
  <c r="X201" i="7" s="1"/>
  <c r="U108" i="5"/>
  <c r="S108" i="5"/>
  <c r="M200" i="7" s="1"/>
  <c r="T107" i="5"/>
  <c r="N199" i="7" s="1"/>
  <c r="X199" i="7" s="1"/>
  <c r="U106" i="5"/>
  <c r="S106" i="5"/>
  <c r="M198" i="7" s="1"/>
  <c r="T105" i="5"/>
  <c r="N197" i="7" s="1"/>
  <c r="X197" i="7" s="1"/>
  <c r="U104" i="5"/>
  <c r="S104" i="5"/>
  <c r="M196" i="7" s="1"/>
  <c r="T103" i="5"/>
  <c r="N195" i="7" s="1"/>
  <c r="X195" i="7" s="1"/>
  <c r="U102" i="5"/>
  <c r="S102" i="5"/>
  <c r="M194" i="7" s="1"/>
  <c r="T101" i="5"/>
  <c r="N193" i="7" s="1"/>
  <c r="X193" i="7" s="1"/>
  <c r="U100" i="5"/>
  <c r="S100" i="5"/>
  <c r="M192" i="7" s="1"/>
  <c r="T99" i="5"/>
  <c r="N191" i="7" s="1"/>
  <c r="X191" i="7" s="1"/>
  <c r="U98" i="5"/>
  <c r="S98" i="5"/>
  <c r="M190" i="7" s="1"/>
  <c r="T97" i="5"/>
  <c r="N189" i="7" s="1"/>
  <c r="X189" i="7" s="1"/>
  <c r="U96" i="5"/>
  <c r="S96" i="5"/>
  <c r="M188" i="7" s="1"/>
  <c r="T95" i="5"/>
  <c r="N187" i="7" s="1"/>
  <c r="X187" i="7" s="1"/>
  <c r="U94" i="5"/>
  <c r="S94" i="5"/>
  <c r="M186" i="7" s="1"/>
  <c r="T93" i="5"/>
  <c r="N185" i="7" s="1"/>
  <c r="X185" i="7" s="1"/>
  <c r="U92" i="5"/>
  <c r="S92" i="5"/>
  <c r="M184" i="7" s="1"/>
  <c r="T91" i="5"/>
  <c r="N183" i="7" s="1"/>
  <c r="X183" i="7" s="1"/>
  <c r="U90" i="5"/>
  <c r="S90" i="5"/>
  <c r="M182" i="7" s="1"/>
  <c r="T89" i="5"/>
  <c r="N181" i="7" s="1"/>
  <c r="X181" i="7" s="1"/>
  <c r="U88" i="5"/>
  <c r="S88" i="5"/>
  <c r="M180" i="7" s="1"/>
  <c r="T87" i="5"/>
  <c r="N179" i="7" s="1"/>
  <c r="X179" i="7" s="1"/>
  <c r="U86" i="5"/>
  <c r="S86" i="5"/>
  <c r="M178" i="7" s="1"/>
  <c r="T85" i="5"/>
  <c r="N177" i="7" s="1"/>
  <c r="X177" i="7" s="1"/>
  <c r="U84" i="5"/>
  <c r="S84" i="5"/>
  <c r="M176" i="7" s="1"/>
  <c r="T83" i="5"/>
  <c r="N175" i="7" s="1"/>
  <c r="X175" i="7" s="1"/>
  <c r="U82" i="5"/>
  <c r="S82" i="5"/>
  <c r="M174" i="7" s="1"/>
  <c r="T81" i="5"/>
  <c r="N173" i="7" s="1"/>
  <c r="X173" i="7" s="1"/>
  <c r="U80" i="5"/>
  <c r="S80" i="5"/>
  <c r="M172" i="7" s="1"/>
  <c r="T79" i="5"/>
  <c r="N171" i="7" s="1"/>
  <c r="X171" i="7" s="1"/>
  <c r="U78" i="5"/>
  <c r="S78" i="5"/>
  <c r="M170" i="7" s="1"/>
  <c r="T77" i="5"/>
  <c r="N169" i="7" s="1"/>
  <c r="X169" i="7" s="1"/>
  <c r="U76" i="5"/>
  <c r="S76" i="5"/>
  <c r="M168" i="7" s="1"/>
  <c r="T75" i="5"/>
  <c r="N167" i="7" s="1"/>
  <c r="X167" i="7" s="1"/>
  <c r="U74" i="5"/>
  <c r="S74" i="5"/>
  <c r="M166" i="7" s="1"/>
  <c r="T73" i="5"/>
  <c r="N165" i="7" s="1"/>
  <c r="X165" i="7" s="1"/>
  <c r="U72" i="5"/>
  <c r="S72" i="5"/>
  <c r="M164" i="7" s="1"/>
  <c r="T71" i="5"/>
  <c r="N163" i="7" s="1"/>
  <c r="X163" i="7" s="1"/>
  <c r="U70" i="5"/>
  <c r="S70" i="5"/>
  <c r="M162" i="7" s="1"/>
  <c r="T69" i="5"/>
  <c r="N161" i="7" s="1"/>
  <c r="X161" i="7" s="1"/>
  <c r="U68" i="5"/>
  <c r="S68" i="5"/>
  <c r="M160" i="7" s="1"/>
  <c r="T67" i="5"/>
  <c r="N159" i="7" s="1"/>
  <c r="X159" i="7" s="1"/>
  <c r="U66" i="5"/>
  <c r="S66" i="5"/>
  <c r="M158" i="7" s="1"/>
  <c r="T65" i="5"/>
  <c r="N157" i="7" s="1"/>
  <c r="X157" i="7" s="1"/>
  <c r="U64" i="5"/>
  <c r="S64" i="5"/>
  <c r="M156" i="7" s="1"/>
  <c r="T63" i="5"/>
  <c r="N155" i="7" s="1"/>
  <c r="X155" i="7" s="1"/>
  <c r="U62" i="5"/>
  <c r="S62" i="5"/>
  <c r="M154" i="7" s="1"/>
  <c r="T61" i="5"/>
  <c r="N153" i="7" s="1"/>
  <c r="X153" i="7" s="1"/>
  <c r="U60" i="5"/>
  <c r="S60" i="5"/>
  <c r="M152" i="7" s="1"/>
  <c r="T59" i="5"/>
  <c r="N151" i="7" s="1"/>
  <c r="X151" i="7" s="1"/>
  <c r="U58" i="5"/>
  <c r="S58" i="5"/>
  <c r="M150" i="7" s="1"/>
  <c r="T57" i="5"/>
  <c r="N149" i="7" s="1"/>
  <c r="X149" i="7" s="1"/>
  <c r="U56" i="5"/>
  <c r="S56" i="5"/>
  <c r="M148" i="7" s="1"/>
  <c r="T55" i="5"/>
  <c r="N147" i="7" s="1"/>
  <c r="X147" i="7" s="1"/>
  <c r="U54" i="5"/>
  <c r="S54" i="5"/>
  <c r="M146" i="7" s="1"/>
  <c r="T53" i="5"/>
  <c r="N145" i="7" s="1"/>
  <c r="X145" i="7" s="1"/>
  <c r="U52" i="5"/>
  <c r="S52" i="5"/>
  <c r="M144" i="7" s="1"/>
  <c r="T51" i="5"/>
  <c r="N143" i="7" s="1"/>
  <c r="X143" i="7" s="1"/>
  <c r="S49" i="5"/>
  <c r="M141" i="7" s="1"/>
  <c r="U47" i="5"/>
  <c r="S45" i="5"/>
  <c r="M137" i="7" s="1"/>
  <c r="U43" i="5"/>
  <c r="S41" i="5"/>
  <c r="M133" i="7" s="1"/>
  <c r="U39" i="5"/>
  <c r="S37" i="5"/>
  <c r="M129" i="7" s="1"/>
  <c r="U35" i="5"/>
  <c r="S33" i="5"/>
  <c r="M125" i="7" s="1"/>
  <c r="U31" i="5"/>
  <c r="S29" i="5"/>
  <c r="M121" i="7" s="1"/>
  <c r="U27" i="5"/>
  <c r="S25" i="5"/>
  <c r="M117" i="7" s="1"/>
  <c r="U23" i="5"/>
  <c r="T22" i="5"/>
  <c r="N114" i="7" s="1"/>
  <c r="S21" i="5"/>
  <c r="M113" i="7" s="1"/>
  <c r="U19" i="5"/>
  <c r="AB10" i="1"/>
  <c r="F102" i="7" s="1"/>
  <c r="W102" i="7" s="1"/>
  <c r="AB12" i="1"/>
  <c r="F104" i="7" s="1"/>
  <c r="W104" i="7" s="1"/>
  <c r="AB14" i="1"/>
  <c r="F106" i="7" s="1"/>
  <c r="W106" i="7" s="1"/>
  <c r="AB16" i="1"/>
  <c r="F108" i="7" s="1"/>
  <c r="W108" i="7" s="1"/>
  <c r="AB18" i="1"/>
  <c r="F110" i="7" s="1"/>
  <c r="W110" i="7" s="1"/>
  <c r="AB20" i="1"/>
  <c r="F112" i="7" s="1"/>
  <c r="W112" i="7" s="1"/>
  <c r="AB22" i="1"/>
  <c r="F114" i="7" s="1"/>
  <c r="W114" i="7" s="1"/>
  <c r="AB24" i="1"/>
  <c r="F116" i="7" s="1"/>
  <c r="W116" i="7" s="1"/>
  <c r="AB26" i="1"/>
  <c r="F118" i="7" s="1"/>
  <c r="AB28" i="1"/>
  <c r="F120" i="7" s="1"/>
  <c r="AB30" i="1"/>
  <c r="F122" i="7" s="1"/>
  <c r="AB32" i="1"/>
  <c r="F124" i="7" s="1"/>
  <c r="AB34" i="1"/>
  <c r="F126" i="7" s="1"/>
  <c r="AB36" i="1"/>
  <c r="F128" i="7" s="1"/>
  <c r="AB38" i="1"/>
  <c r="F130" i="7" s="1"/>
  <c r="AB40" i="1"/>
  <c r="F132" i="7" s="1"/>
  <c r="AB42" i="1"/>
  <c r="F134" i="7" s="1"/>
  <c r="AB44" i="1"/>
  <c r="F136" i="7" s="1"/>
  <c r="AB46" i="1"/>
  <c r="F138" i="7" s="1"/>
  <c r="AB48" i="1"/>
  <c r="F140" i="7" s="1"/>
  <c r="AB50" i="1"/>
  <c r="F142" i="7" s="1"/>
  <c r="AB52" i="1"/>
  <c r="F144" i="7" s="1"/>
  <c r="W144" i="7" s="1"/>
  <c r="AB54" i="1"/>
  <c r="F146" i="7" s="1"/>
  <c r="W146" i="7" s="1"/>
  <c r="AB56" i="1"/>
  <c r="F148" i="7" s="1"/>
  <c r="W148" i="7" s="1"/>
  <c r="AB58" i="1"/>
  <c r="F150" i="7" s="1"/>
  <c r="W150" i="7" s="1"/>
  <c r="AB60" i="1"/>
  <c r="F152" i="7" s="1"/>
  <c r="W152" i="7" s="1"/>
  <c r="AB62" i="1"/>
  <c r="F154" i="7" s="1"/>
  <c r="W154" i="7" s="1"/>
  <c r="AB64" i="1"/>
  <c r="F156" i="7" s="1"/>
  <c r="W156" i="7" s="1"/>
  <c r="AB66" i="1"/>
  <c r="F158" i="7" s="1"/>
  <c r="W158" i="7" s="1"/>
  <c r="AB68" i="1"/>
  <c r="F160" i="7" s="1"/>
  <c r="W160" i="7" s="1"/>
  <c r="AB70" i="1"/>
  <c r="F162" i="7" s="1"/>
  <c r="W162" i="7" s="1"/>
  <c r="AB72" i="1"/>
  <c r="F164" i="7" s="1"/>
  <c r="W164" i="7" s="1"/>
  <c r="AB74" i="1"/>
  <c r="F166" i="7" s="1"/>
  <c r="W166" i="7" s="1"/>
  <c r="AB76" i="1"/>
  <c r="F168" i="7" s="1"/>
  <c r="W168" i="7" s="1"/>
  <c r="AB78" i="1"/>
  <c r="F170" i="7" s="1"/>
  <c r="W170" i="7" s="1"/>
  <c r="AB80" i="1"/>
  <c r="F172" i="7" s="1"/>
  <c r="W172" i="7" s="1"/>
  <c r="AB82" i="1"/>
  <c r="F174" i="7" s="1"/>
  <c r="W174" i="7" s="1"/>
  <c r="AB84" i="1"/>
  <c r="F176" i="7" s="1"/>
  <c r="W176" i="7" s="1"/>
  <c r="AB86" i="1"/>
  <c r="F178" i="7" s="1"/>
  <c r="W178" i="7" s="1"/>
  <c r="AB88" i="1"/>
  <c r="F180" i="7" s="1"/>
  <c r="W180" i="7" s="1"/>
  <c r="AB90" i="1"/>
  <c r="F182" i="7" s="1"/>
  <c r="W182" i="7" s="1"/>
  <c r="AB92" i="1"/>
  <c r="F184" i="7" s="1"/>
  <c r="W184" i="7" s="1"/>
  <c r="AB95" i="1"/>
  <c r="F187" i="7" s="1"/>
  <c r="W187" i="7" s="1"/>
  <c r="AB97" i="1"/>
  <c r="F189" i="7" s="1"/>
  <c r="W189" i="7" s="1"/>
  <c r="AB99" i="1"/>
  <c r="F191" i="7" s="1"/>
  <c r="W191" i="7" s="1"/>
  <c r="AB101" i="1"/>
  <c r="F193" i="7" s="1"/>
  <c r="W193" i="7" s="1"/>
  <c r="AB103" i="1"/>
  <c r="F195" i="7" s="1"/>
  <c r="W195" i="7" s="1"/>
  <c r="AB105" i="1"/>
  <c r="F197" i="7" s="1"/>
  <c r="W197" i="7" s="1"/>
  <c r="AB107" i="1"/>
  <c r="F199" i="7" s="1"/>
  <c r="W199" i="7" s="1"/>
  <c r="AB109" i="1"/>
  <c r="F201" i="7" s="1"/>
  <c r="W201" i="7" s="1"/>
  <c r="AB111" i="1"/>
  <c r="F203" i="7" s="1"/>
  <c r="W203" i="7" s="1"/>
  <c r="AB113" i="1"/>
  <c r="F205" i="7" s="1"/>
  <c r="W205" i="7" s="1"/>
  <c r="AB115" i="1"/>
  <c r="F207" i="7" s="1"/>
  <c r="W207" i="7" s="1"/>
  <c r="AB117" i="1"/>
  <c r="F209" i="7" s="1"/>
  <c r="W209" i="7" s="1"/>
  <c r="AB119" i="1"/>
  <c r="F211" i="7" s="1"/>
  <c r="W211" i="7" s="1"/>
  <c r="AC10" i="1"/>
  <c r="G102" i="7" s="1"/>
  <c r="X102" i="7" s="1"/>
  <c r="AC12" i="1"/>
  <c r="G104" i="7" s="1"/>
  <c r="X104" i="7" s="1"/>
  <c r="AC14" i="1"/>
  <c r="G106" i="7" s="1"/>
  <c r="X106" i="7" s="1"/>
  <c r="AC16" i="1"/>
  <c r="G108" i="7" s="1"/>
  <c r="X108" i="7" s="1"/>
  <c r="AC18" i="1"/>
  <c r="G110" i="7" s="1"/>
  <c r="X110" i="7" s="1"/>
  <c r="AC20" i="1"/>
  <c r="G112" i="7" s="1"/>
  <c r="AC22" i="1"/>
  <c r="G114" i="7" s="1"/>
  <c r="X114" i="7" s="1"/>
  <c r="AC24" i="1"/>
  <c r="G116" i="7" s="1"/>
  <c r="AE49" i="1"/>
  <c r="I141" i="7" s="1"/>
  <c r="Z141" i="7" s="1"/>
  <c r="AE51" i="1"/>
  <c r="I143" i="7" s="1"/>
  <c r="Z143" i="7" s="1"/>
  <c r="AE53" i="1"/>
  <c r="I145" i="7" s="1"/>
  <c r="Z145" i="7" s="1"/>
  <c r="AE55" i="1"/>
  <c r="I147" i="7" s="1"/>
  <c r="Z147" i="7" s="1"/>
  <c r="AE57" i="1"/>
  <c r="I149" i="7" s="1"/>
  <c r="Z149" i="7" s="1"/>
  <c r="AE59" i="1"/>
  <c r="I151" i="7" s="1"/>
  <c r="Z151" i="7" s="1"/>
  <c r="AE61" i="1"/>
  <c r="I153" i="7" s="1"/>
  <c r="Z153" i="7" s="1"/>
  <c r="AE63" i="1"/>
  <c r="I155" i="7" s="1"/>
  <c r="Z155" i="7" s="1"/>
  <c r="AE65" i="1"/>
  <c r="I157" i="7" s="1"/>
  <c r="Z157" i="7" s="1"/>
  <c r="AE67" i="1"/>
  <c r="I159" i="7" s="1"/>
  <c r="Z159" i="7" s="1"/>
  <c r="AE69" i="1"/>
  <c r="I161" i="7" s="1"/>
  <c r="Z161" i="7" s="1"/>
  <c r="AE71" i="1"/>
  <c r="I163" i="7" s="1"/>
  <c r="Z163" i="7" s="1"/>
  <c r="AE73" i="1"/>
  <c r="I165" i="7" s="1"/>
  <c r="Z165" i="7" s="1"/>
  <c r="AE75" i="1"/>
  <c r="I167" i="7" s="1"/>
  <c r="Z167" i="7" s="1"/>
  <c r="AE77" i="1"/>
  <c r="I169" i="7" s="1"/>
  <c r="Z169" i="7" s="1"/>
  <c r="AE79" i="1"/>
  <c r="I171" i="7" s="1"/>
  <c r="Z171" i="7" s="1"/>
  <c r="AE81" i="1"/>
  <c r="I173" i="7" s="1"/>
  <c r="Z173" i="7" s="1"/>
  <c r="AE83" i="1"/>
  <c r="I175" i="7" s="1"/>
  <c r="Z175" i="7" s="1"/>
  <c r="AE85" i="1"/>
  <c r="I177" i="7" s="1"/>
  <c r="Z177" i="7" s="1"/>
  <c r="AE87" i="1"/>
  <c r="I179" i="7" s="1"/>
  <c r="Z179" i="7" s="1"/>
  <c r="AE89" i="1"/>
  <c r="I181" i="7" s="1"/>
  <c r="Z181" i="7" s="1"/>
  <c r="AE91" i="1"/>
  <c r="I183" i="7" s="1"/>
  <c r="Z183" i="7" s="1"/>
  <c r="AE93" i="1"/>
  <c r="I185" i="7" s="1"/>
  <c r="Z185" i="7" s="1"/>
  <c r="AE95" i="1"/>
  <c r="I187" i="7" s="1"/>
  <c r="Z187" i="7" s="1"/>
  <c r="AE97" i="1"/>
  <c r="I189" i="7" s="1"/>
  <c r="Z189" i="7" s="1"/>
  <c r="AE99" i="1"/>
  <c r="I191" i="7" s="1"/>
  <c r="Z191" i="7" s="1"/>
  <c r="AE101" i="1"/>
  <c r="I193" i="7" s="1"/>
  <c r="Z193" i="7" s="1"/>
  <c r="AE103" i="1"/>
  <c r="I195" i="7" s="1"/>
  <c r="Z195" i="7" s="1"/>
  <c r="AE105" i="1"/>
  <c r="I197" i="7" s="1"/>
  <c r="Z197" i="7" s="1"/>
  <c r="AE107" i="1"/>
  <c r="I199" i="7" s="1"/>
  <c r="Z199" i="7" s="1"/>
  <c r="AE109" i="1"/>
  <c r="I201" i="7" s="1"/>
  <c r="Z201" i="7" s="1"/>
  <c r="AE111" i="1"/>
  <c r="I203" i="7" s="1"/>
  <c r="Z203" i="7" s="1"/>
  <c r="AE113" i="1"/>
  <c r="I205" i="7" s="1"/>
  <c r="Z205" i="7" s="1"/>
  <c r="AE115" i="1"/>
  <c r="I207" i="7" s="1"/>
  <c r="Z207" i="7" s="1"/>
  <c r="AE117" i="1"/>
  <c r="I209" i="7" s="1"/>
  <c r="Z209" i="7" s="1"/>
  <c r="AE119" i="1"/>
  <c r="I211" i="7" s="1"/>
  <c r="Z211" i="7" s="1"/>
  <c r="S17" i="5"/>
  <c r="M109" i="7" s="1"/>
  <c r="U17" i="5"/>
  <c r="T17" i="5"/>
  <c r="N109" i="7" s="1"/>
  <c r="S15" i="5"/>
  <c r="M107" i="7" s="1"/>
  <c r="U15" i="5"/>
  <c r="T15" i="5"/>
  <c r="N107" i="7" s="1"/>
  <c r="S13" i="5"/>
  <c r="M105" i="7" s="1"/>
  <c r="U13" i="5"/>
  <c r="T13" i="5"/>
  <c r="N105" i="7" s="1"/>
  <c r="S11" i="5"/>
  <c r="M103" i="7" s="1"/>
  <c r="U11" i="5"/>
  <c r="T11" i="5"/>
  <c r="N103" i="7" s="1"/>
  <c r="S26" i="5"/>
  <c r="M118" i="7" s="1"/>
  <c r="U26" i="5"/>
  <c r="AD26" i="5"/>
  <c r="AC26" i="5"/>
  <c r="AE26" i="5"/>
  <c r="S50" i="5"/>
  <c r="M142" i="7" s="1"/>
  <c r="U50" i="5"/>
  <c r="S48" i="5"/>
  <c r="M140" i="7" s="1"/>
  <c r="U48" i="5"/>
  <c r="S46" i="5"/>
  <c r="M138" i="7" s="1"/>
  <c r="U46" i="5"/>
  <c r="AC44" i="5"/>
  <c r="AE44" i="5"/>
  <c r="AD44" i="5"/>
  <c r="S44" i="5"/>
  <c r="M136" i="7" s="1"/>
  <c r="U44" i="5"/>
  <c r="AC42" i="5"/>
  <c r="AE42" i="5"/>
  <c r="AD42" i="5"/>
  <c r="S42" i="5"/>
  <c r="M134" i="7" s="1"/>
  <c r="U42" i="5"/>
  <c r="AC40" i="5"/>
  <c r="AE40" i="5"/>
  <c r="AD40" i="5"/>
  <c r="S40" i="5"/>
  <c r="M132" i="7" s="1"/>
  <c r="U40" i="5"/>
  <c r="AC38" i="5"/>
  <c r="AE38" i="5"/>
  <c r="AD38" i="5"/>
  <c r="S38" i="5"/>
  <c r="M130" i="7" s="1"/>
  <c r="U38" i="5"/>
  <c r="AC36" i="5"/>
  <c r="AE36" i="5"/>
  <c r="AD36" i="5"/>
  <c r="S36" i="5"/>
  <c r="M128" i="7" s="1"/>
  <c r="U36" i="5"/>
  <c r="AC34" i="5"/>
  <c r="AE34" i="5"/>
  <c r="AD34" i="5"/>
  <c r="S34" i="5"/>
  <c r="M126" i="7" s="1"/>
  <c r="U34" i="5"/>
  <c r="AC32" i="5"/>
  <c r="AE32" i="5"/>
  <c r="AF31" i="5" s="1"/>
  <c r="AD32" i="5"/>
  <c r="S32" i="5"/>
  <c r="M124" i="7" s="1"/>
  <c r="U32" i="5"/>
  <c r="AC30" i="5"/>
  <c r="AE30" i="5"/>
  <c r="AD30" i="5"/>
  <c r="S30" i="5"/>
  <c r="M122" i="7" s="1"/>
  <c r="U30" i="5"/>
  <c r="AD28" i="5"/>
  <c r="AC28" i="5"/>
  <c r="AE28" i="5"/>
  <c r="S28" i="5"/>
  <c r="M120" i="7" s="1"/>
  <c r="U28" i="5"/>
  <c r="S9" i="5"/>
  <c r="M101" i="7" s="1"/>
  <c r="U119" i="5"/>
  <c r="U117" i="5"/>
  <c r="U115" i="5"/>
  <c r="U113" i="5"/>
  <c r="U111" i="5"/>
  <c r="U109" i="5"/>
  <c r="U107" i="5"/>
  <c r="U105" i="5"/>
  <c r="U103" i="5"/>
  <c r="U101" i="5"/>
  <c r="U99" i="5"/>
  <c r="U97" i="5"/>
  <c r="U95" i="5"/>
  <c r="U93" i="5"/>
  <c r="U91" i="5"/>
  <c r="U89" i="5"/>
  <c r="U87" i="5"/>
  <c r="U85" i="5"/>
  <c r="U83" i="5"/>
  <c r="U81" i="5"/>
  <c r="U79" i="5"/>
  <c r="U77" i="5"/>
  <c r="U75" i="5"/>
  <c r="U73" i="5"/>
  <c r="U71" i="5"/>
  <c r="U69" i="5"/>
  <c r="U67" i="5"/>
  <c r="U65" i="5"/>
  <c r="U63" i="5"/>
  <c r="U61" i="5"/>
  <c r="U59" i="5"/>
  <c r="U57" i="5"/>
  <c r="U55" i="5"/>
  <c r="U53" i="5"/>
  <c r="U51" i="5"/>
  <c r="U49" i="5"/>
  <c r="T48" i="5"/>
  <c r="N140" i="7" s="1"/>
  <c r="X140" i="7" s="1"/>
  <c r="S47" i="5"/>
  <c r="M139" i="7" s="1"/>
  <c r="U45" i="5"/>
  <c r="T44" i="5"/>
  <c r="N136" i="7" s="1"/>
  <c r="X136" i="7" s="1"/>
  <c r="S43" i="5"/>
  <c r="M135" i="7" s="1"/>
  <c r="U41" i="5"/>
  <c r="T40" i="5"/>
  <c r="N132" i="7" s="1"/>
  <c r="X132" i="7" s="1"/>
  <c r="S39" i="5"/>
  <c r="M131" i="7" s="1"/>
  <c r="U37" i="5"/>
  <c r="T36" i="5"/>
  <c r="N128" i="7" s="1"/>
  <c r="X128" i="7" s="1"/>
  <c r="S35" i="5"/>
  <c r="M127" i="7" s="1"/>
  <c r="U33" i="5"/>
  <c r="T32" i="5"/>
  <c r="N124" i="7" s="1"/>
  <c r="X124" i="7" s="1"/>
  <c r="S31" i="5"/>
  <c r="M123" i="7" s="1"/>
  <c r="U29" i="5"/>
  <c r="T28" i="5"/>
  <c r="N120" i="7" s="1"/>
  <c r="X120" i="7" s="1"/>
  <c r="S27" i="5"/>
  <c r="M119" i="7" s="1"/>
  <c r="U25" i="5"/>
  <c r="T24" i="5"/>
  <c r="N116" i="7" s="1"/>
  <c r="S23" i="5"/>
  <c r="M115" i="7" s="1"/>
  <c r="U21" i="5"/>
  <c r="T20" i="5"/>
  <c r="N112" i="7" s="1"/>
  <c r="S19" i="5"/>
  <c r="M111" i="7" s="1"/>
  <c r="BW5" i="9"/>
  <c r="BW6" i="9"/>
  <c r="BW8" i="9"/>
  <c r="BW10" i="9"/>
  <c r="BW12" i="9"/>
  <c r="BW14" i="9"/>
  <c r="BW16" i="9"/>
  <c r="BW78" i="9"/>
  <c r="BW90" i="9"/>
  <c r="C83" i="7" s="1"/>
  <c r="BW7" i="9"/>
  <c r="BW11" i="9"/>
  <c r="BW13" i="9"/>
  <c r="BW15" i="9"/>
  <c r="AQ48" i="9"/>
  <c r="AQ49" i="9"/>
  <c r="AQ51" i="9"/>
  <c r="AG56" i="9"/>
  <c r="BW81" i="9"/>
  <c r="BW98" i="9"/>
  <c r="C91" i="7" s="1"/>
  <c r="BW102" i="9"/>
  <c r="C95" i="7" s="1"/>
  <c r="BW103" i="9"/>
  <c r="C96" i="7" s="1"/>
  <c r="BW104" i="9"/>
  <c r="C97" i="7" s="1"/>
  <c r="CK126" i="9"/>
  <c r="BZ25" i="9"/>
  <c r="CB24" i="9"/>
  <c r="BZ37" i="9"/>
  <c r="CB36" i="9"/>
  <c r="BZ50" i="9"/>
  <c r="CB49" i="9"/>
  <c r="BZ69" i="9"/>
  <c r="CB68" i="9"/>
  <c r="BW9" i="9"/>
  <c r="T76" i="9"/>
  <c r="S76" i="9"/>
  <c r="R76" i="9"/>
  <c r="T75" i="9"/>
  <c r="S75" i="9"/>
  <c r="R75" i="9"/>
  <c r="U75" i="9" s="1"/>
  <c r="T74" i="9"/>
  <c r="S74" i="9"/>
  <c r="R74" i="9"/>
  <c r="T73" i="9"/>
  <c r="S73" i="9"/>
  <c r="R73" i="9"/>
  <c r="U73" i="9" s="1"/>
  <c r="T72" i="9"/>
  <c r="S72" i="9"/>
  <c r="R72" i="9"/>
  <c r="BC125" i="9"/>
  <c r="AW125" i="9"/>
  <c r="BC124" i="9"/>
  <c r="BC123" i="9"/>
  <c r="BC122" i="9"/>
  <c r="AW122" i="9"/>
  <c r="BC121" i="9"/>
  <c r="AW121" i="9"/>
  <c r="BC120" i="9"/>
  <c r="AW120" i="9"/>
  <c r="BC119" i="9"/>
  <c r="AW119" i="9"/>
  <c r="BC118" i="9"/>
  <c r="AW118" i="9"/>
  <c r="BC117" i="9"/>
  <c r="AW117" i="9"/>
  <c r="BC116" i="9"/>
  <c r="AW116" i="9"/>
  <c r="BC115" i="9"/>
  <c r="AW115" i="9"/>
  <c r="BC114" i="9"/>
  <c r="AW114" i="9"/>
  <c r="BC113" i="9"/>
  <c r="AW113" i="9"/>
  <c r="BC112" i="9"/>
  <c r="AW112" i="9"/>
  <c r="BC111" i="9"/>
  <c r="AW111" i="9"/>
  <c r="BC110" i="9"/>
  <c r="AW110" i="9"/>
  <c r="BC109" i="9"/>
  <c r="AW109" i="9"/>
  <c r="BC108" i="9"/>
  <c r="AW108" i="9"/>
  <c r="BC107" i="9"/>
  <c r="AW107" i="9"/>
  <c r="BC106" i="9"/>
  <c r="AW106" i="9"/>
  <c r="BC105" i="9"/>
  <c r="AW105" i="9"/>
  <c r="BC104" i="9"/>
  <c r="BC103" i="9"/>
  <c r="BC102" i="9"/>
  <c r="BC101" i="9"/>
  <c r="AW101" i="9"/>
  <c r="BC100" i="9"/>
  <c r="AW100" i="9"/>
  <c r="BC99" i="9"/>
  <c r="AW99" i="9"/>
  <c r="BC98" i="9"/>
  <c r="BC97" i="9"/>
  <c r="AW97" i="9"/>
  <c r="BC96" i="9"/>
  <c r="AW96" i="9"/>
  <c r="BC95" i="9"/>
  <c r="AW95" i="9"/>
  <c r="BC94" i="9"/>
  <c r="AW94" i="9"/>
  <c r="BC93" i="9"/>
  <c r="AW93" i="9"/>
  <c r="BC92" i="9"/>
  <c r="AW92" i="9"/>
  <c r="BC91" i="9"/>
  <c r="AW91" i="9"/>
  <c r="BC90" i="9"/>
  <c r="BC89" i="9"/>
  <c r="AW89" i="9"/>
  <c r="BC88" i="9"/>
  <c r="AW88" i="9"/>
  <c r="BC87" i="9"/>
  <c r="AW87" i="9"/>
  <c r="BC86" i="9"/>
  <c r="AW86" i="9"/>
  <c r="BC85" i="9"/>
  <c r="AW85" i="9"/>
  <c r="BC84" i="9"/>
  <c r="AW84" i="9"/>
  <c r="BC83" i="9"/>
  <c r="AW83" i="9"/>
  <c r="BC82" i="9"/>
  <c r="AW82" i="9"/>
  <c r="BC81" i="9"/>
  <c r="BC80" i="9"/>
  <c r="AW80" i="9"/>
  <c r="BC79" i="9"/>
  <c r="AW79" i="9"/>
  <c r="BC78" i="9"/>
  <c r="AW77" i="9"/>
  <c r="BC76" i="9"/>
  <c r="BC75" i="9"/>
  <c r="BC74" i="9"/>
  <c r="AW74" i="9"/>
  <c r="BC73" i="9"/>
  <c r="BC72" i="9"/>
  <c r="AW72" i="9"/>
  <c r="BC71" i="9"/>
  <c r="BZ89" i="9"/>
  <c r="CB88" i="9"/>
  <c r="BZ96" i="9"/>
  <c r="CB95" i="9"/>
  <c r="C15" i="9"/>
  <c r="D15" i="9" s="1"/>
  <c r="C16" i="9"/>
  <c r="D16" i="9" s="1"/>
  <c r="C17" i="9"/>
  <c r="D17" i="9" s="1"/>
  <c r="C18" i="9"/>
  <c r="D18" i="9" s="1"/>
  <c r="C19" i="9"/>
  <c r="D19" i="9" s="1"/>
  <c r="C20" i="9"/>
  <c r="D20" i="9" s="1"/>
  <c r="C21" i="9"/>
  <c r="D21" i="9" s="1"/>
  <c r="C22" i="9"/>
  <c r="D22" i="9" s="1"/>
  <c r="C23" i="9"/>
  <c r="D23" i="9" s="1"/>
  <c r="CB23" i="9"/>
  <c r="C24" i="9"/>
  <c r="D24" i="9" s="1"/>
  <c r="C25" i="9"/>
  <c r="D25" i="9" s="1"/>
  <c r="C26" i="9"/>
  <c r="D26" i="9" s="1"/>
  <c r="C27" i="9"/>
  <c r="D27" i="9" s="1"/>
  <c r="C28" i="9"/>
  <c r="D28" i="9" s="1"/>
  <c r="C29" i="9"/>
  <c r="D29" i="9" s="1"/>
  <c r="C30" i="9"/>
  <c r="D30" i="9" s="1"/>
  <c r="C31" i="9"/>
  <c r="D31" i="9" s="1"/>
  <c r="C32" i="9"/>
  <c r="D32" i="9" s="1"/>
  <c r="C33" i="9"/>
  <c r="D33" i="9" s="1"/>
  <c r="C34" i="9"/>
  <c r="D34" i="9" s="1"/>
  <c r="C35" i="9"/>
  <c r="D35" i="9" s="1"/>
  <c r="CB35" i="9"/>
  <c r="C36" i="9"/>
  <c r="D36" i="9" s="1"/>
  <c r="C37" i="9"/>
  <c r="D37" i="9" s="1"/>
  <c r="C38" i="9"/>
  <c r="D38" i="9" s="1"/>
  <c r="C39" i="9"/>
  <c r="D39" i="9" s="1"/>
  <c r="C40" i="9"/>
  <c r="D40" i="9" s="1"/>
  <c r="C41" i="9"/>
  <c r="D41" i="9" s="1"/>
  <c r="C42" i="9"/>
  <c r="D42" i="9" s="1"/>
  <c r="C43" i="9"/>
  <c r="D43" i="9" s="1"/>
  <c r="C44" i="9"/>
  <c r="D44" i="9" s="1"/>
  <c r="C45" i="9"/>
  <c r="D45" i="9" s="1"/>
  <c r="C46" i="9"/>
  <c r="D46" i="9" s="1"/>
  <c r="C47" i="9"/>
  <c r="D47" i="9" s="1"/>
  <c r="AW47" i="9"/>
  <c r="C48" i="9"/>
  <c r="D48" i="9" s="1"/>
  <c r="AW48" i="9"/>
  <c r="CB48" i="9"/>
  <c r="C49" i="9"/>
  <c r="D49" i="9" s="1"/>
  <c r="C50" i="9"/>
  <c r="D50" i="9" s="1"/>
  <c r="C51" i="9"/>
  <c r="D51" i="9" s="1"/>
  <c r="AW51" i="9"/>
  <c r="C52" i="9"/>
  <c r="D52" i="9" s="1"/>
  <c r="C53" i="9"/>
  <c r="D53" i="9" s="1"/>
  <c r="E55" i="9" s="1"/>
  <c r="F55" i="9" s="1"/>
  <c r="G57" i="9" s="1"/>
  <c r="AG54" i="9"/>
  <c r="AO54" i="9" s="1"/>
  <c r="BW55" i="9"/>
  <c r="C48" i="7" s="1"/>
  <c r="AH56" i="9"/>
  <c r="AI56" i="9"/>
  <c r="AW56" i="9"/>
  <c r="AG57" i="9"/>
  <c r="AH57" i="9"/>
  <c r="AI57" i="9"/>
  <c r="BW58" i="9"/>
  <c r="C51" i="7" s="1"/>
  <c r="AG59" i="9"/>
  <c r="AH59" i="9"/>
  <c r="AI59" i="9"/>
  <c r="AW59" i="9"/>
  <c r="R60" i="9"/>
  <c r="S60" i="9"/>
  <c r="T60" i="9"/>
  <c r="AG60" i="9"/>
  <c r="AH60" i="9"/>
  <c r="AI60" i="9"/>
  <c r="R61" i="9"/>
  <c r="S61" i="9"/>
  <c r="T61" i="9"/>
  <c r="AG61" i="9"/>
  <c r="AH61" i="9"/>
  <c r="AI61" i="9"/>
  <c r="R62" i="9"/>
  <c r="S62" i="9"/>
  <c r="T62" i="9"/>
  <c r="AG62" i="9"/>
  <c r="AH62" i="9"/>
  <c r="AI62" i="9"/>
  <c r="AW62" i="9"/>
  <c r="R63" i="9"/>
  <c r="S63" i="9"/>
  <c r="T63" i="9"/>
  <c r="AG63" i="9"/>
  <c r="AH63" i="9"/>
  <c r="AI63" i="9"/>
  <c r="AW63" i="9"/>
  <c r="R64" i="9"/>
  <c r="S64" i="9"/>
  <c r="T64" i="9"/>
  <c r="AG64" i="9"/>
  <c r="AH64" i="9"/>
  <c r="AI64" i="9"/>
  <c r="AW64" i="9"/>
  <c r="R65" i="9"/>
  <c r="S65" i="9"/>
  <c r="T65" i="9"/>
  <c r="AG65" i="9"/>
  <c r="AH65" i="9"/>
  <c r="AI65" i="9"/>
  <c r="AW65" i="9"/>
  <c r="R66" i="9"/>
  <c r="S66" i="9"/>
  <c r="T66" i="9"/>
  <c r="AG66" i="9"/>
  <c r="AH66" i="9"/>
  <c r="AI66" i="9"/>
  <c r="AW66" i="9"/>
  <c r="R67" i="9"/>
  <c r="S67" i="9"/>
  <c r="T67" i="9"/>
  <c r="AG67" i="9"/>
  <c r="AH67" i="9"/>
  <c r="AI67" i="9"/>
  <c r="AW67" i="9"/>
  <c r="BC67" i="9"/>
  <c r="CB67" i="9"/>
  <c r="K68" i="9"/>
  <c r="M68" i="9" s="1"/>
  <c r="R68" i="9"/>
  <c r="S68" i="9"/>
  <c r="T68" i="9"/>
  <c r="AG68" i="9"/>
  <c r="AH68" i="9"/>
  <c r="AI68" i="9"/>
  <c r="BC68" i="9"/>
  <c r="R69" i="9"/>
  <c r="S69" i="9"/>
  <c r="T69" i="9"/>
  <c r="AG69" i="9"/>
  <c r="AH69" i="9"/>
  <c r="AI69" i="9"/>
  <c r="BC69" i="9"/>
  <c r="R70" i="9"/>
  <c r="S70" i="9"/>
  <c r="T70" i="9"/>
  <c r="AG70" i="9"/>
  <c r="AH70" i="9"/>
  <c r="AI70" i="9"/>
  <c r="AW70" i="9"/>
  <c r="BC70" i="9"/>
  <c r="R71" i="9"/>
  <c r="S71" i="9"/>
  <c r="T71" i="9"/>
  <c r="AG71" i="9"/>
  <c r="AH71" i="9"/>
  <c r="AP71" i="9"/>
  <c r="BW75" i="9"/>
  <c r="C68" i="7" s="1"/>
  <c r="BW77" i="9"/>
  <c r="BW79" i="9"/>
  <c r="BW80" i="9"/>
  <c r="BW82" i="9"/>
  <c r="BW83" i="9"/>
  <c r="BW84" i="9"/>
  <c r="BW85" i="9"/>
  <c r="BW86" i="9"/>
  <c r="BW87" i="9"/>
  <c r="BW88" i="9"/>
  <c r="BW89" i="9"/>
  <c r="BW91" i="9"/>
  <c r="C84" i="7" s="1"/>
  <c r="BW92" i="9"/>
  <c r="C85" i="7" s="1"/>
  <c r="BW93" i="9"/>
  <c r="BW94" i="9"/>
  <c r="BW95" i="9"/>
  <c r="BW96" i="9"/>
  <c r="BW97" i="9"/>
  <c r="C90" i="7" s="1"/>
  <c r="BW99" i="9"/>
  <c r="C92" i="7" s="1"/>
  <c r="BW100" i="9"/>
  <c r="C93" i="7" s="1"/>
  <c r="BW101" i="9"/>
  <c r="C94" i="7" s="1"/>
  <c r="BW105" i="9"/>
  <c r="BT106" i="9"/>
  <c r="BW107" i="9"/>
  <c r="CK127" i="9"/>
  <c r="CL126" i="9"/>
  <c r="BZ108" i="9"/>
  <c r="CB107" i="9"/>
  <c r="AG72" i="9"/>
  <c r="AH72" i="9"/>
  <c r="AI72" i="9"/>
  <c r="AG73" i="9"/>
  <c r="AH73" i="9"/>
  <c r="AI73" i="9"/>
  <c r="CB87" i="9"/>
  <c r="CB94" i="9"/>
  <c r="CB106" i="9"/>
  <c r="BT108" i="9"/>
  <c r="BT109" i="9"/>
  <c r="BT110" i="9"/>
  <c r="BT111" i="9"/>
  <c r="BT112" i="9"/>
  <c r="BT113" i="9"/>
  <c r="BT114" i="9"/>
  <c r="BT115" i="9"/>
  <c r="BT116" i="9"/>
  <c r="BT117" i="9"/>
  <c r="BT118" i="9"/>
  <c r="BT119" i="9"/>
  <c r="BT120" i="9"/>
  <c r="BT121" i="9"/>
  <c r="BT122" i="9"/>
  <c r="AW123" i="9"/>
  <c r="BT123" i="9"/>
  <c r="AW124" i="9"/>
  <c r="BT124" i="9"/>
  <c r="BT125" i="9"/>
  <c r="BW125" i="9" s="1"/>
  <c r="C118" i="7" s="1"/>
  <c r="AA118" i="5"/>
  <c r="T210" i="7" s="1"/>
  <c r="AA117" i="5"/>
  <c r="T209" i="7" s="1"/>
  <c r="AA116" i="5"/>
  <c r="T208" i="7" s="1"/>
  <c r="AA115" i="5"/>
  <c r="T207" i="7" s="1"/>
  <c r="AA114" i="5"/>
  <c r="T206" i="7" s="1"/>
  <c r="AA113" i="5"/>
  <c r="T205" i="7" s="1"/>
  <c r="AA112" i="5"/>
  <c r="T204" i="7" s="1"/>
  <c r="AA111" i="5"/>
  <c r="T203" i="7" s="1"/>
  <c r="AA110" i="5"/>
  <c r="T202" i="7" s="1"/>
  <c r="AA109" i="5"/>
  <c r="T201" i="7" s="1"/>
  <c r="AA108" i="5"/>
  <c r="T200" i="7" s="1"/>
  <c r="AA107" i="5"/>
  <c r="T199" i="7" s="1"/>
  <c r="AA106" i="5"/>
  <c r="T198" i="7" s="1"/>
  <c r="AA105" i="5"/>
  <c r="T197" i="7" s="1"/>
  <c r="AA104" i="5"/>
  <c r="T196" i="7" s="1"/>
  <c r="AA103" i="5"/>
  <c r="T195" i="7" s="1"/>
  <c r="AA102" i="5"/>
  <c r="T194" i="7" s="1"/>
  <c r="AA101" i="5"/>
  <c r="T193" i="7" s="1"/>
  <c r="AA100" i="5"/>
  <c r="T192" i="7" s="1"/>
  <c r="AA99" i="5"/>
  <c r="T191" i="7" s="1"/>
  <c r="AA98" i="5"/>
  <c r="T190" i="7" s="1"/>
  <c r="AA97" i="5"/>
  <c r="T189" i="7" s="1"/>
  <c r="AA96" i="5"/>
  <c r="T188" i="7" s="1"/>
  <c r="AA95" i="5"/>
  <c r="T187" i="7" s="1"/>
  <c r="AA94" i="5"/>
  <c r="T186" i="7" s="1"/>
  <c r="AA93" i="5"/>
  <c r="T185" i="7" s="1"/>
  <c r="AA92" i="5"/>
  <c r="T184" i="7" s="1"/>
  <c r="AA91" i="5"/>
  <c r="T183" i="7" s="1"/>
  <c r="AA90" i="5"/>
  <c r="T182" i="7" s="1"/>
  <c r="AA89" i="5"/>
  <c r="T181" i="7" s="1"/>
  <c r="AA88" i="5"/>
  <c r="T180" i="7" s="1"/>
  <c r="AA87" i="5"/>
  <c r="T179" i="7" s="1"/>
  <c r="AA86" i="5"/>
  <c r="T178" i="7" s="1"/>
  <c r="AA85" i="5"/>
  <c r="T177" i="7" s="1"/>
  <c r="AA84" i="5"/>
  <c r="T176" i="7" s="1"/>
  <c r="AA83" i="5"/>
  <c r="T175" i="7" s="1"/>
  <c r="AA82" i="5"/>
  <c r="T174" i="7" s="1"/>
  <c r="AA81" i="5"/>
  <c r="T173" i="7" s="1"/>
  <c r="AA80" i="5"/>
  <c r="T172" i="7" s="1"/>
  <c r="AA79" i="5"/>
  <c r="T171" i="7" s="1"/>
  <c r="AA78" i="5"/>
  <c r="T170" i="7" s="1"/>
  <c r="AA77" i="5"/>
  <c r="T169" i="7" s="1"/>
  <c r="AA76" i="5"/>
  <c r="T168" i="7" s="1"/>
  <c r="AA75" i="5"/>
  <c r="T167" i="7" s="1"/>
  <c r="AA74" i="5"/>
  <c r="T166" i="7" s="1"/>
  <c r="AA73" i="5"/>
  <c r="T165" i="7" s="1"/>
  <c r="AA72" i="5"/>
  <c r="T164" i="7" s="1"/>
  <c r="AA71" i="5"/>
  <c r="T163" i="7" s="1"/>
  <c r="AA70" i="5"/>
  <c r="T162" i="7" s="1"/>
  <c r="AA69" i="5"/>
  <c r="T161" i="7" s="1"/>
  <c r="AA68" i="5"/>
  <c r="T160" i="7" s="1"/>
  <c r="AA67" i="5"/>
  <c r="T159" i="7" s="1"/>
  <c r="AA66" i="5"/>
  <c r="T158" i="7" s="1"/>
  <c r="AA65" i="5"/>
  <c r="T157" i="7" s="1"/>
  <c r="AA64" i="5"/>
  <c r="T156" i="7" s="1"/>
  <c r="AA63" i="5"/>
  <c r="T155" i="7" s="1"/>
  <c r="AA62" i="5"/>
  <c r="T154" i="7" s="1"/>
  <c r="AA61" i="5"/>
  <c r="T153" i="7" s="1"/>
  <c r="AA60" i="5"/>
  <c r="T152" i="7" s="1"/>
  <c r="AA59" i="5"/>
  <c r="T151" i="7" s="1"/>
  <c r="AA58" i="5"/>
  <c r="T150" i="7" s="1"/>
  <c r="AA57" i="5"/>
  <c r="T149" i="7" s="1"/>
  <c r="AA56" i="5"/>
  <c r="T148" i="7" s="1"/>
  <c r="AA55" i="5"/>
  <c r="T147" i="7" s="1"/>
  <c r="AA54" i="5"/>
  <c r="T146" i="7" s="1"/>
  <c r="AA53" i="5"/>
  <c r="T145" i="7" s="1"/>
  <c r="AA52" i="5"/>
  <c r="T144" i="7" s="1"/>
  <c r="AA51" i="5"/>
  <c r="T143" i="7" s="1"/>
  <c r="AA50" i="5"/>
  <c r="T142" i="7" s="1"/>
  <c r="AA49" i="5"/>
  <c r="T141" i="7" s="1"/>
  <c r="AA45" i="5"/>
  <c r="T137" i="7" s="1"/>
  <c r="AA44" i="5"/>
  <c r="T136" i="7" s="1"/>
  <c r="AA43" i="5"/>
  <c r="T135" i="7" s="1"/>
  <c r="AA125" i="5"/>
  <c r="T217" i="7" s="1"/>
  <c r="AA124" i="5"/>
  <c r="T216" i="7" s="1"/>
  <c r="AA123" i="5"/>
  <c r="T215" i="7" s="1"/>
  <c r="AA122" i="5"/>
  <c r="T214" i="7" s="1"/>
  <c r="AA121" i="5"/>
  <c r="T213" i="7" s="1"/>
  <c r="AB94" i="1"/>
  <c r="F186" i="7" s="1"/>
  <c r="W186" i="7" s="1"/>
  <c r="CA96" i="9" l="1"/>
  <c r="C89" i="7"/>
  <c r="CA94" i="9"/>
  <c r="C87" i="7"/>
  <c r="CA89" i="9"/>
  <c r="C82" i="7"/>
  <c r="CA87" i="9"/>
  <c r="C80" i="7"/>
  <c r="CA85" i="9"/>
  <c r="C78" i="7"/>
  <c r="CA83" i="9"/>
  <c r="C76" i="7"/>
  <c r="CA80" i="9"/>
  <c r="C73" i="7"/>
  <c r="CA77" i="9"/>
  <c r="C70" i="7"/>
  <c r="CA81" i="9"/>
  <c r="C74" i="7"/>
  <c r="CA78" i="9"/>
  <c r="C71" i="7"/>
  <c r="O113" i="7"/>
  <c r="Y113" i="7" s="1"/>
  <c r="V21" i="5"/>
  <c r="P113" i="7" s="1"/>
  <c r="O121" i="7"/>
  <c r="Y121" i="7" s="1"/>
  <c r="V29" i="5"/>
  <c r="P121" i="7" s="1"/>
  <c r="O129" i="7"/>
  <c r="Y129" i="7" s="1"/>
  <c r="V37" i="5"/>
  <c r="P129" i="7" s="1"/>
  <c r="O137" i="7"/>
  <c r="Y137" i="7" s="1"/>
  <c r="V45" i="5"/>
  <c r="P137" i="7" s="1"/>
  <c r="O143" i="7"/>
  <c r="Y143" i="7" s="1"/>
  <c r="V51" i="5"/>
  <c r="P143" i="7" s="1"/>
  <c r="O147" i="7"/>
  <c r="Y147" i="7" s="1"/>
  <c r="V55" i="5"/>
  <c r="P147" i="7" s="1"/>
  <c r="O151" i="7"/>
  <c r="Y151" i="7" s="1"/>
  <c r="V59" i="5"/>
  <c r="P151" i="7" s="1"/>
  <c r="O155" i="7"/>
  <c r="Y155" i="7" s="1"/>
  <c r="V63" i="5"/>
  <c r="P155" i="7" s="1"/>
  <c r="O159" i="7"/>
  <c r="Y159" i="7" s="1"/>
  <c r="V67" i="5"/>
  <c r="P159" i="7" s="1"/>
  <c r="O163" i="7"/>
  <c r="Y163" i="7" s="1"/>
  <c r="V71" i="5"/>
  <c r="P163" i="7" s="1"/>
  <c r="O167" i="7"/>
  <c r="Y167" i="7" s="1"/>
  <c r="V75" i="5"/>
  <c r="P167" i="7" s="1"/>
  <c r="O171" i="7"/>
  <c r="Y171" i="7" s="1"/>
  <c r="V79" i="5"/>
  <c r="P171" i="7" s="1"/>
  <c r="O175" i="7"/>
  <c r="Y175" i="7" s="1"/>
  <c r="V83" i="5"/>
  <c r="P175" i="7" s="1"/>
  <c r="O179" i="7"/>
  <c r="Y179" i="7" s="1"/>
  <c r="V87" i="5"/>
  <c r="P179" i="7" s="1"/>
  <c r="O183" i="7"/>
  <c r="Y183" i="7" s="1"/>
  <c r="V91" i="5"/>
  <c r="P183" i="7" s="1"/>
  <c r="O187" i="7"/>
  <c r="Y187" i="7" s="1"/>
  <c r="V95" i="5"/>
  <c r="P187" i="7" s="1"/>
  <c r="O191" i="7"/>
  <c r="Y191" i="7" s="1"/>
  <c r="V99" i="5"/>
  <c r="P191" i="7" s="1"/>
  <c r="O195" i="7"/>
  <c r="Y195" i="7" s="1"/>
  <c r="V103" i="5"/>
  <c r="P195" i="7" s="1"/>
  <c r="O199" i="7"/>
  <c r="Y199" i="7" s="1"/>
  <c r="V107" i="5"/>
  <c r="P199" i="7" s="1"/>
  <c r="O203" i="7"/>
  <c r="Y203" i="7" s="1"/>
  <c r="V111" i="5"/>
  <c r="P203" i="7" s="1"/>
  <c r="O207" i="7"/>
  <c r="Y207" i="7" s="1"/>
  <c r="V115" i="5"/>
  <c r="P207" i="7" s="1"/>
  <c r="O211" i="7"/>
  <c r="V119" i="5"/>
  <c r="P211" i="7" s="1"/>
  <c r="O120" i="7"/>
  <c r="Y120" i="7" s="1"/>
  <c r="V28" i="5"/>
  <c r="P120" i="7" s="1"/>
  <c r="AF28" i="5"/>
  <c r="AF29" i="5"/>
  <c r="O124" i="7"/>
  <c r="Y124" i="7" s="1"/>
  <c r="V32" i="5"/>
  <c r="P124" i="7" s="1"/>
  <c r="AF33" i="5"/>
  <c r="O128" i="7"/>
  <c r="Y128" i="7" s="1"/>
  <c r="V36" i="5"/>
  <c r="P128" i="7" s="1"/>
  <c r="AF37" i="5"/>
  <c r="O132" i="7"/>
  <c r="Y132" i="7" s="1"/>
  <c r="V40" i="5"/>
  <c r="P132" i="7" s="1"/>
  <c r="AF41" i="5"/>
  <c r="O136" i="7"/>
  <c r="Y136" i="7" s="1"/>
  <c r="V44" i="5"/>
  <c r="P136" i="7" s="1"/>
  <c r="O118" i="7"/>
  <c r="Y118" i="7" s="1"/>
  <c r="V26" i="5"/>
  <c r="P118" i="7" s="1"/>
  <c r="O105" i="7"/>
  <c r="Y105" i="7" s="1"/>
  <c r="V13" i="5"/>
  <c r="P105" i="7" s="1"/>
  <c r="O109" i="7"/>
  <c r="Y109" i="7" s="1"/>
  <c r="V17" i="5"/>
  <c r="P109" i="7" s="1"/>
  <c r="X116" i="7"/>
  <c r="X112" i="7"/>
  <c r="W142" i="7"/>
  <c r="W138" i="7"/>
  <c r="W134" i="7"/>
  <c r="W130" i="7"/>
  <c r="W126" i="7"/>
  <c r="W122" i="7"/>
  <c r="W118" i="7"/>
  <c r="O115" i="7"/>
  <c r="Y115" i="7" s="1"/>
  <c r="V23" i="5"/>
  <c r="P115" i="7" s="1"/>
  <c r="O119" i="7"/>
  <c r="Y119" i="7" s="1"/>
  <c r="V27" i="5"/>
  <c r="P119" i="7" s="1"/>
  <c r="O123" i="7"/>
  <c r="Y123" i="7" s="1"/>
  <c r="V31" i="5"/>
  <c r="P123" i="7" s="1"/>
  <c r="O127" i="7"/>
  <c r="Y127" i="7" s="1"/>
  <c r="V35" i="5"/>
  <c r="P127" i="7" s="1"/>
  <c r="O131" i="7"/>
  <c r="Y131" i="7" s="1"/>
  <c r="V39" i="5"/>
  <c r="P131" i="7" s="1"/>
  <c r="O135" i="7"/>
  <c r="Y135" i="7" s="1"/>
  <c r="V43" i="5"/>
  <c r="P135" i="7" s="1"/>
  <c r="O139" i="7"/>
  <c r="Y139" i="7" s="1"/>
  <c r="V47" i="5"/>
  <c r="P139" i="7" s="1"/>
  <c r="O144" i="7"/>
  <c r="Y144" i="7" s="1"/>
  <c r="V52" i="5"/>
  <c r="P144" i="7" s="1"/>
  <c r="O148" i="7"/>
  <c r="Y148" i="7" s="1"/>
  <c r="V56" i="5"/>
  <c r="P148" i="7" s="1"/>
  <c r="O152" i="7"/>
  <c r="Y152" i="7" s="1"/>
  <c r="V60" i="5"/>
  <c r="P152" i="7" s="1"/>
  <c r="O156" i="7"/>
  <c r="Y156" i="7" s="1"/>
  <c r="V64" i="5"/>
  <c r="P156" i="7" s="1"/>
  <c r="O160" i="7"/>
  <c r="Y160" i="7" s="1"/>
  <c r="V68" i="5"/>
  <c r="P160" i="7" s="1"/>
  <c r="O164" i="7"/>
  <c r="Y164" i="7" s="1"/>
  <c r="V72" i="5"/>
  <c r="P164" i="7" s="1"/>
  <c r="O168" i="7"/>
  <c r="Y168" i="7" s="1"/>
  <c r="V76" i="5"/>
  <c r="P168" i="7" s="1"/>
  <c r="O172" i="7"/>
  <c r="Y172" i="7" s="1"/>
  <c r="V80" i="5"/>
  <c r="P172" i="7" s="1"/>
  <c r="O176" i="7"/>
  <c r="Y176" i="7" s="1"/>
  <c r="V84" i="5"/>
  <c r="P176" i="7" s="1"/>
  <c r="O180" i="7"/>
  <c r="Y180" i="7" s="1"/>
  <c r="V88" i="5"/>
  <c r="P180" i="7" s="1"/>
  <c r="O184" i="7"/>
  <c r="Y184" i="7" s="1"/>
  <c r="V92" i="5"/>
  <c r="P184" i="7" s="1"/>
  <c r="O188" i="7"/>
  <c r="Y188" i="7" s="1"/>
  <c r="V96" i="5"/>
  <c r="P188" i="7" s="1"/>
  <c r="O192" i="7"/>
  <c r="Y192" i="7" s="1"/>
  <c r="V100" i="5"/>
  <c r="P192" i="7" s="1"/>
  <c r="O196" i="7"/>
  <c r="Y196" i="7" s="1"/>
  <c r="V104" i="5"/>
  <c r="P196" i="7" s="1"/>
  <c r="O200" i="7"/>
  <c r="Y200" i="7" s="1"/>
  <c r="V108" i="5"/>
  <c r="P200" i="7" s="1"/>
  <c r="O204" i="7"/>
  <c r="Y204" i="7" s="1"/>
  <c r="V112" i="5"/>
  <c r="P204" i="7" s="1"/>
  <c r="O208" i="7"/>
  <c r="Y208" i="7" s="1"/>
  <c r="V116" i="5"/>
  <c r="P208" i="7" s="1"/>
  <c r="O212" i="7"/>
  <c r="Y212" i="7" s="1"/>
  <c r="V120" i="5"/>
  <c r="P212" i="7" s="1"/>
  <c r="V122" i="5"/>
  <c r="P214" i="7" s="1"/>
  <c r="V124" i="5"/>
  <c r="P216" i="7" s="1"/>
  <c r="V121" i="5"/>
  <c r="P213" i="7" s="1"/>
  <c r="V123" i="5"/>
  <c r="P215" i="7" s="1"/>
  <c r="V125" i="5"/>
  <c r="P217" i="7" s="1"/>
  <c r="AF27" i="5"/>
  <c r="AF45" i="5"/>
  <c r="AA46" i="5"/>
  <c r="T138" i="7" s="1"/>
  <c r="S139" i="7"/>
  <c r="AF46" i="5"/>
  <c r="AF47" i="5"/>
  <c r="AA48" i="5"/>
  <c r="T140" i="7" s="1"/>
  <c r="S141" i="7"/>
  <c r="AB141" i="7" s="1"/>
  <c r="AF49" i="5"/>
  <c r="AF50" i="5"/>
  <c r="AF51" i="5"/>
  <c r="AF53" i="5"/>
  <c r="AF54" i="5"/>
  <c r="AF55" i="5"/>
  <c r="AF57" i="5"/>
  <c r="AF58" i="5"/>
  <c r="AF59" i="5"/>
  <c r="AF61" i="5"/>
  <c r="AF62" i="5"/>
  <c r="AF63" i="5"/>
  <c r="AF66" i="5"/>
  <c r="AF70" i="5"/>
  <c r="AF75" i="5"/>
  <c r="AF76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2" i="5"/>
  <c r="AF124" i="5"/>
  <c r="AF121" i="5"/>
  <c r="AF123" i="5"/>
  <c r="AF125" i="5"/>
  <c r="O104" i="7"/>
  <c r="Y104" i="7" s="1"/>
  <c r="V12" i="5"/>
  <c r="P104" i="7" s="1"/>
  <c r="O108" i="7"/>
  <c r="Y108" i="7" s="1"/>
  <c r="V16" i="5"/>
  <c r="P108" i="7" s="1"/>
  <c r="O112" i="7"/>
  <c r="Y112" i="7" s="1"/>
  <c r="V20" i="5"/>
  <c r="P112" i="7" s="1"/>
  <c r="O114" i="7"/>
  <c r="Y114" i="7" s="1"/>
  <c r="V22" i="5"/>
  <c r="P114" i="7" s="1"/>
  <c r="O116" i="7"/>
  <c r="Y116" i="7" s="1"/>
  <c r="V24" i="5"/>
  <c r="P116" i="7" s="1"/>
  <c r="AA211" i="7"/>
  <c r="AB208" i="7"/>
  <c r="AA207" i="7"/>
  <c r="AB204" i="7"/>
  <c r="AA203" i="7"/>
  <c r="AB200" i="7"/>
  <c r="AA199" i="7"/>
  <c r="AB196" i="7"/>
  <c r="AA195" i="7"/>
  <c r="AB192" i="7"/>
  <c r="AA191" i="7"/>
  <c r="AB188" i="7"/>
  <c r="AA187" i="7"/>
  <c r="AB184" i="7"/>
  <c r="AA183" i="7"/>
  <c r="AB180" i="7"/>
  <c r="AA179" i="7"/>
  <c r="AB176" i="7"/>
  <c r="AA175" i="7"/>
  <c r="AB172" i="7"/>
  <c r="AA171" i="7"/>
  <c r="AB168" i="7"/>
  <c r="AA167" i="7"/>
  <c r="AB164" i="7"/>
  <c r="AA163" i="7"/>
  <c r="AB160" i="7"/>
  <c r="AA159" i="7"/>
  <c r="AB156" i="7"/>
  <c r="AA155" i="7"/>
  <c r="Z154" i="7"/>
  <c r="AB152" i="7"/>
  <c r="AA151" i="7"/>
  <c r="Z150" i="7"/>
  <c r="AB148" i="7"/>
  <c r="AA147" i="7"/>
  <c r="Z146" i="7"/>
  <c r="AB144" i="7"/>
  <c r="AA143" i="7"/>
  <c r="Z142" i="7"/>
  <c r="Y211" i="7"/>
  <c r="X109" i="7"/>
  <c r="X105" i="7"/>
  <c r="X101" i="7"/>
  <c r="W210" i="7"/>
  <c r="W206" i="7"/>
  <c r="W202" i="7"/>
  <c r="W198" i="7"/>
  <c r="W194" i="7"/>
  <c r="W190" i="7"/>
  <c r="W141" i="7"/>
  <c r="W137" i="7"/>
  <c r="W133" i="7"/>
  <c r="W129" i="7"/>
  <c r="W125" i="7"/>
  <c r="W121" i="7"/>
  <c r="W117" i="7"/>
  <c r="W113" i="7"/>
  <c r="W109" i="7"/>
  <c r="W105" i="7"/>
  <c r="W101" i="7"/>
  <c r="BW124" i="9"/>
  <c r="C117" i="7" s="1"/>
  <c r="CA107" i="9"/>
  <c r="C100" i="7"/>
  <c r="CA105" i="9"/>
  <c r="C98" i="7"/>
  <c r="CA95" i="9"/>
  <c r="C88" i="7"/>
  <c r="CA93" i="9"/>
  <c r="C86" i="7"/>
  <c r="CA88" i="9"/>
  <c r="C81" i="7"/>
  <c r="CA86" i="9"/>
  <c r="C79" i="7"/>
  <c r="CA84" i="9"/>
  <c r="C77" i="7"/>
  <c r="CA82" i="9"/>
  <c r="C75" i="7"/>
  <c r="CA79" i="9"/>
  <c r="C72" i="7"/>
  <c r="CC75" i="9"/>
  <c r="AO56" i="9"/>
  <c r="U72" i="9"/>
  <c r="U74" i="9"/>
  <c r="BW74" i="9" s="1"/>
  <c r="C67" i="7" s="1"/>
  <c r="U76" i="9"/>
  <c r="BW76" i="9" s="1"/>
  <c r="O117" i="7"/>
  <c r="Y117" i="7" s="1"/>
  <c r="V25" i="5"/>
  <c r="P117" i="7" s="1"/>
  <c r="O125" i="7"/>
  <c r="Y125" i="7" s="1"/>
  <c r="V33" i="5"/>
  <c r="P125" i="7" s="1"/>
  <c r="O133" i="7"/>
  <c r="Y133" i="7" s="1"/>
  <c r="V41" i="5"/>
  <c r="P133" i="7" s="1"/>
  <c r="O141" i="7"/>
  <c r="Y141" i="7" s="1"/>
  <c r="V49" i="5"/>
  <c r="P141" i="7" s="1"/>
  <c r="O145" i="7"/>
  <c r="Y145" i="7" s="1"/>
  <c r="V53" i="5"/>
  <c r="P145" i="7" s="1"/>
  <c r="O149" i="7"/>
  <c r="Y149" i="7" s="1"/>
  <c r="V57" i="5"/>
  <c r="P149" i="7" s="1"/>
  <c r="O153" i="7"/>
  <c r="Y153" i="7" s="1"/>
  <c r="V61" i="5"/>
  <c r="P153" i="7" s="1"/>
  <c r="O157" i="7"/>
  <c r="Y157" i="7" s="1"/>
  <c r="V65" i="5"/>
  <c r="P157" i="7" s="1"/>
  <c r="O161" i="7"/>
  <c r="Y161" i="7" s="1"/>
  <c r="V69" i="5"/>
  <c r="P161" i="7" s="1"/>
  <c r="O165" i="7"/>
  <c r="Y165" i="7" s="1"/>
  <c r="V73" i="5"/>
  <c r="P165" i="7" s="1"/>
  <c r="O169" i="7"/>
  <c r="Y169" i="7" s="1"/>
  <c r="V77" i="5"/>
  <c r="P169" i="7" s="1"/>
  <c r="O173" i="7"/>
  <c r="Y173" i="7" s="1"/>
  <c r="V81" i="5"/>
  <c r="P173" i="7" s="1"/>
  <c r="O177" i="7"/>
  <c r="Y177" i="7" s="1"/>
  <c r="V85" i="5"/>
  <c r="P177" i="7" s="1"/>
  <c r="O181" i="7"/>
  <c r="Y181" i="7" s="1"/>
  <c r="V89" i="5"/>
  <c r="P181" i="7" s="1"/>
  <c r="O185" i="7"/>
  <c r="Y185" i="7" s="1"/>
  <c r="V93" i="5"/>
  <c r="P185" i="7" s="1"/>
  <c r="O189" i="7"/>
  <c r="Y189" i="7" s="1"/>
  <c r="V97" i="5"/>
  <c r="P189" i="7" s="1"/>
  <c r="O193" i="7"/>
  <c r="Y193" i="7" s="1"/>
  <c r="V101" i="5"/>
  <c r="P193" i="7" s="1"/>
  <c r="O197" i="7"/>
  <c r="Y197" i="7" s="1"/>
  <c r="V105" i="5"/>
  <c r="P197" i="7" s="1"/>
  <c r="O201" i="7"/>
  <c r="Y201" i="7" s="1"/>
  <c r="V109" i="5"/>
  <c r="P201" i="7" s="1"/>
  <c r="O205" i="7"/>
  <c r="Y205" i="7" s="1"/>
  <c r="V113" i="5"/>
  <c r="P205" i="7" s="1"/>
  <c r="O209" i="7"/>
  <c r="V117" i="5"/>
  <c r="P209" i="7" s="1"/>
  <c r="O122" i="7"/>
  <c r="Y122" i="7" s="1"/>
  <c r="V30" i="5"/>
  <c r="P122" i="7" s="1"/>
  <c r="O126" i="7"/>
  <c r="Y126" i="7" s="1"/>
  <c r="V34" i="5"/>
  <c r="P126" i="7" s="1"/>
  <c r="AF35" i="5"/>
  <c r="O130" i="7"/>
  <c r="Y130" i="7" s="1"/>
  <c r="V38" i="5"/>
  <c r="P130" i="7" s="1"/>
  <c r="AF39" i="5"/>
  <c r="O134" i="7"/>
  <c r="Y134" i="7" s="1"/>
  <c r="V42" i="5"/>
  <c r="P134" i="7" s="1"/>
  <c r="AF43" i="5"/>
  <c r="O138" i="7"/>
  <c r="Y138" i="7" s="1"/>
  <c r="V46" i="5"/>
  <c r="P138" i="7" s="1"/>
  <c r="O140" i="7"/>
  <c r="Y140" i="7" s="1"/>
  <c r="V48" i="5"/>
  <c r="P140" i="7" s="1"/>
  <c r="O142" i="7"/>
  <c r="Y142" i="7" s="1"/>
  <c r="V50" i="5"/>
  <c r="P142" i="7" s="1"/>
  <c r="AF23" i="5"/>
  <c r="AF25" i="5"/>
  <c r="AF26" i="5"/>
  <c r="AF22" i="5"/>
  <c r="AF24" i="5"/>
  <c r="O103" i="7"/>
  <c r="Y103" i="7" s="1"/>
  <c r="V11" i="5"/>
  <c r="P103" i="7" s="1"/>
  <c r="O107" i="7"/>
  <c r="Y107" i="7" s="1"/>
  <c r="V15" i="5"/>
  <c r="P107" i="7" s="1"/>
  <c r="W140" i="7"/>
  <c r="W136" i="7"/>
  <c r="W132" i="7"/>
  <c r="W128" i="7"/>
  <c r="W124" i="7"/>
  <c r="W120" i="7"/>
  <c r="O111" i="7"/>
  <c r="Y111" i="7" s="1"/>
  <c r="V19" i="5"/>
  <c r="P111" i="7" s="1"/>
  <c r="O146" i="7"/>
  <c r="Y146" i="7" s="1"/>
  <c r="V54" i="5"/>
  <c r="P146" i="7" s="1"/>
  <c r="O150" i="7"/>
  <c r="Y150" i="7" s="1"/>
  <c r="V58" i="5"/>
  <c r="P150" i="7" s="1"/>
  <c r="O154" i="7"/>
  <c r="Y154" i="7" s="1"/>
  <c r="V62" i="5"/>
  <c r="P154" i="7" s="1"/>
  <c r="O158" i="7"/>
  <c r="Y158" i="7" s="1"/>
  <c r="V66" i="5"/>
  <c r="P158" i="7" s="1"/>
  <c r="O162" i="7"/>
  <c r="Y162" i="7" s="1"/>
  <c r="V70" i="5"/>
  <c r="P162" i="7" s="1"/>
  <c r="O166" i="7"/>
  <c r="Y166" i="7" s="1"/>
  <c r="V74" i="5"/>
  <c r="P166" i="7" s="1"/>
  <c r="O170" i="7"/>
  <c r="Y170" i="7" s="1"/>
  <c r="V78" i="5"/>
  <c r="P170" i="7" s="1"/>
  <c r="O174" i="7"/>
  <c r="Y174" i="7" s="1"/>
  <c r="V82" i="5"/>
  <c r="P174" i="7" s="1"/>
  <c r="O178" i="7"/>
  <c r="Y178" i="7" s="1"/>
  <c r="V86" i="5"/>
  <c r="P178" i="7" s="1"/>
  <c r="O182" i="7"/>
  <c r="Y182" i="7" s="1"/>
  <c r="V90" i="5"/>
  <c r="P182" i="7" s="1"/>
  <c r="O186" i="7"/>
  <c r="Y186" i="7" s="1"/>
  <c r="V94" i="5"/>
  <c r="P186" i="7" s="1"/>
  <c r="O190" i="7"/>
  <c r="Y190" i="7" s="1"/>
  <c r="V98" i="5"/>
  <c r="P190" i="7" s="1"/>
  <c r="O194" i="7"/>
  <c r="Y194" i="7" s="1"/>
  <c r="V102" i="5"/>
  <c r="P194" i="7" s="1"/>
  <c r="O198" i="7"/>
  <c r="Y198" i="7" s="1"/>
  <c r="V106" i="5"/>
  <c r="P198" i="7" s="1"/>
  <c r="O202" i="7"/>
  <c r="Y202" i="7" s="1"/>
  <c r="V110" i="5"/>
  <c r="P202" i="7" s="1"/>
  <c r="O206" i="7"/>
  <c r="Y206" i="7" s="1"/>
  <c r="V114" i="5"/>
  <c r="P206" i="7" s="1"/>
  <c r="O210" i="7"/>
  <c r="Y210" i="7" s="1"/>
  <c r="V118" i="5"/>
  <c r="P210" i="7" s="1"/>
  <c r="AF30" i="5"/>
  <c r="AF32" i="5"/>
  <c r="AF34" i="5"/>
  <c r="AF36" i="5"/>
  <c r="AF38" i="5"/>
  <c r="AF40" i="5"/>
  <c r="AF42" i="5"/>
  <c r="AF44" i="5"/>
  <c r="AA42" i="5"/>
  <c r="T134" i="7" s="1"/>
  <c r="S138" i="7"/>
  <c r="AA47" i="5"/>
  <c r="T139" i="7" s="1"/>
  <c r="S140" i="7"/>
  <c r="AF48" i="5"/>
  <c r="AF52" i="5"/>
  <c r="AF56" i="5"/>
  <c r="AF60" i="5"/>
  <c r="AF64" i="5"/>
  <c r="AF65" i="5"/>
  <c r="AF67" i="5"/>
  <c r="AF68" i="5"/>
  <c r="AF69" i="5"/>
  <c r="AF71" i="5"/>
  <c r="AF72" i="5"/>
  <c r="AF73" i="5"/>
  <c r="AF74" i="5"/>
  <c r="AF77" i="5"/>
  <c r="AF78" i="5"/>
  <c r="AF79" i="5"/>
  <c r="AF80" i="5"/>
  <c r="AF81" i="5"/>
  <c r="AF82" i="5"/>
  <c r="AF83" i="5"/>
  <c r="AA119" i="5"/>
  <c r="T211" i="7" s="1"/>
  <c r="S212" i="7"/>
  <c r="AB212" i="7" s="1"/>
  <c r="AA120" i="5"/>
  <c r="T212" i="7" s="1"/>
  <c r="O102" i="7"/>
  <c r="Y102" i="7" s="1"/>
  <c r="V10" i="5"/>
  <c r="P102" i="7" s="1"/>
  <c r="O106" i="7"/>
  <c r="Y106" i="7" s="1"/>
  <c r="V14" i="5"/>
  <c r="P106" i="7" s="1"/>
  <c r="O110" i="7"/>
  <c r="Y110" i="7" s="1"/>
  <c r="V18" i="5"/>
  <c r="P110" i="7" s="1"/>
  <c r="AB210" i="7"/>
  <c r="AB206" i="7"/>
  <c r="AB202" i="7"/>
  <c r="AA201" i="7"/>
  <c r="AB198" i="7"/>
  <c r="AA197" i="7"/>
  <c r="AB194" i="7"/>
  <c r="AA193" i="7"/>
  <c r="AB190" i="7"/>
  <c r="AA189" i="7"/>
  <c r="AB186" i="7"/>
  <c r="AA185" i="7"/>
  <c r="AB182" i="7"/>
  <c r="AA181" i="7"/>
  <c r="AB178" i="7"/>
  <c r="AA177" i="7"/>
  <c r="AB174" i="7"/>
  <c r="AA173" i="7"/>
  <c r="AB170" i="7"/>
  <c r="AA169" i="7"/>
  <c r="AB166" i="7"/>
  <c r="AA165" i="7"/>
  <c r="AB162" i="7"/>
  <c r="AA161" i="7"/>
  <c r="AB158" i="7"/>
  <c r="AA157" i="7"/>
  <c r="Z156" i="7"/>
  <c r="AB154" i="7"/>
  <c r="AA153" i="7"/>
  <c r="Z152" i="7"/>
  <c r="AB150" i="7"/>
  <c r="AA149" i="7"/>
  <c r="Z148" i="7"/>
  <c r="AB146" i="7"/>
  <c r="AA145" i="7"/>
  <c r="Z144" i="7"/>
  <c r="AB142" i="7"/>
  <c r="AA141" i="7"/>
  <c r="Y209" i="7"/>
  <c r="X107" i="7"/>
  <c r="X103" i="7"/>
  <c r="W212" i="7"/>
  <c r="W208" i="7"/>
  <c r="W204" i="7"/>
  <c r="W200" i="7"/>
  <c r="W196" i="7"/>
  <c r="W192" i="7"/>
  <c r="W188" i="7"/>
  <c r="W139" i="7"/>
  <c r="W135" i="7"/>
  <c r="W131" i="7"/>
  <c r="W127" i="7"/>
  <c r="W123" i="7"/>
  <c r="W119" i="7"/>
  <c r="W115" i="7"/>
  <c r="W111" i="7"/>
  <c r="W107" i="7"/>
  <c r="W103" i="7"/>
  <c r="BW56" i="9"/>
  <c r="C49" i="7" s="1"/>
  <c r="AY125" i="9"/>
  <c r="BU110" i="9"/>
  <c r="BU109" i="9"/>
  <c r="AO73" i="9"/>
  <c r="AK73" i="9"/>
  <c r="AO72" i="9"/>
  <c r="AK72" i="9"/>
  <c r="BZ109" i="9"/>
  <c r="CB108" i="9"/>
  <c r="BU108" i="9"/>
  <c r="BU106" i="9"/>
  <c r="CH75" i="9"/>
  <c r="CA75" i="9"/>
  <c r="CH74" i="9"/>
  <c r="AO71" i="9"/>
  <c r="AK71" i="9"/>
  <c r="BE70" i="9"/>
  <c r="AY72" i="9"/>
  <c r="AY71" i="9"/>
  <c r="BD70" i="9"/>
  <c r="AY70" i="9"/>
  <c r="AO70" i="9"/>
  <c r="AK70" i="9"/>
  <c r="BE69" i="9"/>
  <c r="AO69" i="9"/>
  <c r="AK69" i="9"/>
  <c r="BE68" i="9"/>
  <c r="AO68" i="9"/>
  <c r="AK68" i="9"/>
  <c r="BG67" i="9"/>
  <c r="BE67" i="9"/>
  <c r="AY69" i="9"/>
  <c r="BD67" i="9"/>
  <c r="AO67" i="9"/>
  <c r="AK67" i="9"/>
  <c r="AY68" i="9"/>
  <c r="BF66" i="9"/>
  <c r="BF67" i="9" s="1"/>
  <c r="BF68" i="9" s="1"/>
  <c r="BF69" i="9" s="1"/>
  <c r="BF70" i="9" s="1"/>
  <c r="BF71" i="9" s="1"/>
  <c r="BF72" i="9" s="1"/>
  <c r="BF73" i="9" s="1"/>
  <c r="BF74" i="9" s="1"/>
  <c r="BF75" i="9" s="1"/>
  <c r="BF76" i="9" s="1"/>
  <c r="BF77" i="9" s="1"/>
  <c r="BF78" i="9" s="1"/>
  <c r="BF79" i="9" s="1"/>
  <c r="BF80" i="9" s="1"/>
  <c r="BF81" i="9" s="1"/>
  <c r="BF82" i="9" s="1"/>
  <c r="BF83" i="9" s="1"/>
  <c r="BF84" i="9" s="1"/>
  <c r="BF85" i="9" s="1"/>
  <c r="BF86" i="9" s="1"/>
  <c r="BF87" i="9" s="1"/>
  <c r="BF88" i="9" s="1"/>
  <c r="BF89" i="9" s="1"/>
  <c r="BF90" i="9" s="1"/>
  <c r="BF91" i="9" s="1"/>
  <c r="BF92" i="9" s="1"/>
  <c r="BF93" i="9" s="1"/>
  <c r="BF94" i="9" s="1"/>
  <c r="BF95" i="9" s="1"/>
  <c r="BF96" i="9" s="1"/>
  <c r="BF97" i="9" s="1"/>
  <c r="BF98" i="9" s="1"/>
  <c r="BF99" i="9" s="1"/>
  <c r="BF100" i="9" s="1"/>
  <c r="BF101" i="9" s="1"/>
  <c r="BF102" i="9" s="1"/>
  <c r="BF103" i="9" s="1"/>
  <c r="BF104" i="9" s="1"/>
  <c r="BF105" i="9" s="1"/>
  <c r="BF106" i="9" s="1"/>
  <c r="BF107" i="9" s="1"/>
  <c r="BF108" i="9" s="1"/>
  <c r="BF109" i="9" s="1"/>
  <c r="BF110" i="9" s="1"/>
  <c r="BF111" i="9" s="1"/>
  <c r="BF112" i="9" s="1"/>
  <c r="BF113" i="9" s="1"/>
  <c r="BF114" i="9" s="1"/>
  <c r="BF115" i="9" s="1"/>
  <c r="BF116" i="9" s="1"/>
  <c r="BF117" i="9" s="1"/>
  <c r="BF118" i="9" s="1"/>
  <c r="BF119" i="9" s="1"/>
  <c r="BF120" i="9" s="1"/>
  <c r="BF121" i="9" s="1"/>
  <c r="BF122" i="9" s="1"/>
  <c r="BF123" i="9" s="1"/>
  <c r="BF124" i="9" s="1"/>
  <c r="BF125" i="9" s="1"/>
  <c r="BD66" i="9"/>
  <c r="AO66" i="9"/>
  <c r="AK66" i="9"/>
  <c r="AY67" i="9"/>
  <c r="BD65" i="9"/>
  <c r="AO65" i="9"/>
  <c r="AK65" i="9"/>
  <c r="AY66" i="9"/>
  <c r="BD64" i="9"/>
  <c r="AO64" i="9"/>
  <c r="AK64" i="9"/>
  <c r="AY65" i="9"/>
  <c r="BD63" i="9"/>
  <c r="AO63" i="9"/>
  <c r="AK63" i="9"/>
  <c r="AY64" i="9"/>
  <c r="AY63" i="9"/>
  <c r="BD62" i="9"/>
  <c r="AY62" i="9"/>
  <c r="AO62" i="9"/>
  <c r="AK62" i="9"/>
  <c r="AO61" i="9"/>
  <c r="AK61" i="9"/>
  <c r="AO60" i="9"/>
  <c r="AK60" i="9"/>
  <c r="AY61" i="9"/>
  <c r="AY60" i="9"/>
  <c r="BD59" i="9"/>
  <c r="AY59" i="9"/>
  <c r="CH58" i="9"/>
  <c r="CA58" i="9"/>
  <c r="AY58" i="9"/>
  <c r="AY57" i="9"/>
  <c r="AY56" i="9"/>
  <c r="AY55" i="9"/>
  <c r="AY54" i="9"/>
  <c r="CH55" i="9"/>
  <c r="AY53" i="9"/>
  <c r="AY52" i="9"/>
  <c r="AY51" i="9"/>
  <c r="AY49" i="9"/>
  <c r="AY48" i="9"/>
  <c r="AY47" i="9"/>
  <c r="AY46" i="9"/>
  <c r="AY45" i="9"/>
  <c r="BZ97" i="9"/>
  <c r="CB96" i="9"/>
  <c r="BZ90" i="9"/>
  <c r="CB89" i="9"/>
  <c r="BE71" i="9"/>
  <c r="AY74" i="9"/>
  <c r="AY73" i="9"/>
  <c r="BD72" i="9"/>
  <c r="BE72" i="9"/>
  <c r="BE73" i="9"/>
  <c r="AY76" i="9"/>
  <c r="AY75" i="9"/>
  <c r="BD74" i="9"/>
  <c r="BE74" i="9"/>
  <c r="BE75" i="9"/>
  <c r="BE76" i="9"/>
  <c r="AY79" i="9"/>
  <c r="AY78" i="9"/>
  <c r="BD77" i="9"/>
  <c r="AY77" i="9"/>
  <c r="BE78" i="9"/>
  <c r="AY81" i="9"/>
  <c r="AY80" i="9"/>
  <c r="BD79" i="9"/>
  <c r="BE79" i="9"/>
  <c r="AY82" i="9"/>
  <c r="BD80" i="9"/>
  <c r="BE80" i="9"/>
  <c r="BE81" i="9"/>
  <c r="AY84" i="9"/>
  <c r="AY83" i="9"/>
  <c r="BD82" i="9"/>
  <c r="BE82" i="9"/>
  <c r="AY85" i="9"/>
  <c r="BD83" i="9"/>
  <c r="BE83" i="9"/>
  <c r="AY86" i="9"/>
  <c r="BD84" i="9"/>
  <c r="BE84" i="9"/>
  <c r="AY87" i="9"/>
  <c r="BD85" i="9"/>
  <c r="BE85" i="9"/>
  <c r="AY88" i="9"/>
  <c r="BE86" i="9"/>
  <c r="AY89" i="9"/>
  <c r="BE87" i="9"/>
  <c r="AY90" i="9"/>
  <c r="BE88" i="9"/>
  <c r="AY91" i="9"/>
  <c r="BE89" i="9"/>
  <c r="BE90" i="9"/>
  <c r="AY93" i="9"/>
  <c r="AY92" i="9"/>
  <c r="BE91" i="9"/>
  <c r="AY94" i="9"/>
  <c r="BE92" i="9"/>
  <c r="AY95" i="9"/>
  <c r="BE93" i="9"/>
  <c r="AY96" i="9"/>
  <c r="BE94" i="9"/>
  <c r="AY97" i="9"/>
  <c r="BE95" i="9"/>
  <c r="AY98" i="9"/>
  <c r="BE96" i="9"/>
  <c r="AY99" i="9"/>
  <c r="BE97" i="9"/>
  <c r="BE98" i="9"/>
  <c r="AY101" i="9"/>
  <c r="AY100" i="9"/>
  <c r="BE99" i="9"/>
  <c r="AY102" i="9"/>
  <c r="BE100" i="9"/>
  <c r="AY103" i="9"/>
  <c r="BE101" i="9"/>
  <c r="BE102" i="9"/>
  <c r="BE103" i="9"/>
  <c r="BE104" i="9"/>
  <c r="BE105" i="9"/>
  <c r="BE106" i="9"/>
  <c r="BE107" i="9"/>
  <c r="BE108" i="9"/>
  <c r="AY111" i="9"/>
  <c r="BE109" i="9"/>
  <c r="AY112" i="9"/>
  <c r="BE110" i="9"/>
  <c r="AY113" i="9"/>
  <c r="BE111" i="9"/>
  <c r="AY114" i="9"/>
  <c r="BE112" i="9"/>
  <c r="AY115" i="9"/>
  <c r="BE113" i="9"/>
  <c r="AY116" i="9"/>
  <c r="BE114" i="9"/>
  <c r="AY117" i="9"/>
  <c r="BE115" i="9"/>
  <c r="AY118" i="9"/>
  <c r="BE116" i="9"/>
  <c r="AY119" i="9"/>
  <c r="BE117" i="9"/>
  <c r="AY120" i="9"/>
  <c r="BE118" i="9"/>
  <c r="AY121" i="9"/>
  <c r="BE119" i="9"/>
  <c r="AY122" i="9"/>
  <c r="BE120" i="9"/>
  <c r="AY123" i="9"/>
  <c r="BE121" i="9"/>
  <c r="AY124" i="9"/>
  <c r="BE122" i="9"/>
  <c r="BE123" i="9"/>
  <c r="BE124" i="9"/>
  <c r="BE125" i="9"/>
  <c r="V74" i="9"/>
  <c r="CE72" i="9"/>
  <c r="V75" i="9"/>
  <c r="CE73" i="9"/>
  <c r="V76" i="9"/>
  <c r="CE74" i="9"/>
  <c r="V77" i="9"/>
  <c r="CE75" i="9"/>
  <c r="V78" i="9"/>
  <c r="CE76" i="9"/>
  <c r="BZ70" i="9"/>
  <c r="CB69" i="9"/>
  <c r="BZ51" i="9"/>
  <c r="CB50" i="9"/>
  <c r="BZ38" i="9"/>
  <c r="CB37" i="9"/>
  <c r="BZ26" i="9"/>
  <c r="CB25" i="9"/>
  <c r="BU125" i="9"/>
  <c r="BW123" i="9"/>
  <c r="C116" i="7" s="1"/>
  <c r="BU124" i="9"/>
  <c r="BW122" i="9"/>
  <c r="C115" i="7" s="1"/>
  <c r="BU123" i="9"/>
  <c r="BW121" i="9"/>
  <c r="C114" i="7" s="1"/>
  <c r="BU122" i="9"/>
  <c r="BW120" i="9"/>
  <c r="C113" i="7" s="1"/>
  <c r="BU121" i="9"/>
  <c r="BW119" i="9"/>
  <c r="C112" i="7" s="1"/>
  <c r="BU120" i="9"/>
  <c r="BW118" i="9"/>
  <c r="C111" i="7" s="1"/>
  <c r="BU119" i="9"/>
  <c r="BW117" i="9"/>
  <c r="C110" i="7" s="1"/>
  <c r="BU118" i="9"/>
  <c r="BW116" i="9"/>
  <c r="C109" i="7" s="1"/>
  <c r="BU117" i="9"/>
  <c r="BW115" i="9"/>
  <c r="C108" i="7" s="1"/>
  <c r="BU116" i="9"/>
  <c r="BW114" i="9"/>
  <c r="C107" i="7" s="1"/>
  <c r="BU115" i="9"/>
  <c r="BW113" i="9"/>
  <c r="C106" i="7" s="1"/>
  <c r="BU114" i="9"/>
  <c r="BW112" i="9"/>
  <c r="C105" i="7" s="1"/>
  <c r="BU113" i="9"/>
  <c r="BW111" i="9"/>
  <c r="C104" i="7" s="1"/>
  <c r="BU112" i="9"/>
  <c r="BW110" i="9"/>
  <c r="C103" i="7" s="1"/>
  <c r="BU111" i="9"/>
  <c r="BW109" i="9"/>
  <c r="BW108" i="9"/>
  <c r="AJ73" i="9"/>
  <c r="AJ72" i="9"/>
  <c r="BW106" i="9"/>
  <c r="CA97" i="9"/>
  <c r="AP73" i="9"/>
  <c r="AP72" i="9"/>
  <c r="U71" i="9"/>
  <c r="U70" i="9"/>
  <c r="U69" i="9"/>
  <c r="U68" i="9"/>
  <c r="U67" i="9"/>
  <c r="U66" i="9"/>
  <c r="U65" i="9"/>
  <c r="U64" i="9"/>
  <c r="U63" i="9"/>
  <c r="U62" i="9"/>
  <c r="U61" i="9"/>
  <c r="U60" i="9"/>
  <c r="AO59" i="9"/>
  <c r="AO57" i="9"/>
  <c r="E54" i="9"/>
  <c r="F54" i="9" s="1"/>
  <c r="G56" i="9" s="1"/>
  <c r="E53" i="9"/>
  <c r="F53" i="9" s="1"/>
  <c r="E52" i="9"/>
  <c r="F52" i="9" s="1"/>
  <c r="E51" i="9"/>
  <c r="F51" i="9" s="1"/>
  <c r="AY50" i="9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AP70" i="9"/>
  <c r="AP69" i="9"/>
  <c r="AP68" i="9"/>
  <c r="AP67" i="9"/>
  <c r="AP66" i="9"/>
  <c r="AP64" i="9"/>
  <c r="AP63" i="9"/>
  <c r="AP61" i="9"/>
  <c r="AP57" i="9"/>
  <c r="AQ55" i="9"/>
  <c r="AQ54" i="9"/>
  <c r="AQ53" i="9"/>
  <c r="AQ52" i="9"/>
  <c r="CA109" i="9" l="1"/>
  <c r="C102" i="7"/>
  <c r="CA76" i="9"/>
  <c r="C69" i="7"/>
  <c r="CC76" i="9"/>
  <c r="CA106" i="9"/>
  <c r="C99" i="7"/>
  <c r="CA108" i="9"/>
  <c r="C101" i="7"/>
  <c r="G19" i="9"/>
  <c r="G15" i="9"/>
  <c r="G16" i="9"/>
  <c r="G17" i="9"/>
  <c r="G18" i="9"/>
  <c r="BW17" i="9"/>
  <c r="C10" i="7" s="1"/>
  <c r="G20" i="9"/>
  <c r="BW18" i="9"/>
  <c r="C11" i="7" s="1"/>
  <c r="G21" i="9"/>
  <c r="BW19" i="9"/>
  <c r="G22" i="9"/>
  <c r="BW20" i="9"/>
  <c r="G23" i="9"/>
  <c r="BW21" i="9"/>
  <c r="G24" i="9"/>
  <c r="BW22" i="9"/>
  <c r="G25" i="9"/>
  <c r="BW23" i="9"/>
  <c r="G26" i="9"/>
  <c r="BW24" i="9"/>
  <c r="G27" i="9"/>
  <c r="BW25" i="9"/>
  <c r="G28" i="9"/>
  <c r="BW26" i="9"/>
  <c r="G29" i="9"/>
  <c r="BW27" i="9"/>
  <c r="C20" i="7" s="1"/>
  <c r="G30" i="9"/>
  <c r="BW28" i="9"/>
  <c r="C21" i="7" s="1"/>
  <c r="G31" i="9"/>
  <c r="BW29" i="9"/>
  <c r="C22" i="7" s="1"/>
  <c r="G32" i="9"/>
  <c r="BW30" i="9"/>
  <c r="G33" i="9"/>
  <c r="BW31" i="9"/>
  <c r="G34" i="9"/>
  <c r="BW32" i="9"/>
  <c r="G35" i="9"/>
  <c r="BW33" i="9"/>
  <c r="G36" i="9"/>
  <c r="BW34" i="9"/>
  <c r="G37" i="9"/>
  <c r="BW35" i="9"/>
  <c r="C28" i="7" s="1"/>
  <c r="G38" i="9"/>
  <c r="BW36" i="9"/>
  <c r="C29" i="7" s="1"/>
  <c r="G39" i="9"/>
  <c r="BW37" i="9"/>
  <c r="C30" i="7" s="1"/>
  <c r="G40" i="9"/>
  <c r="BW38" i="9"/>
  <c r="C31" i="7" s="1"/>
  <c r="G41" i="9"/>
  <c r="BW39" i="9"/>
  <c r="C32" i="7" s="1"/>
  <c r="G42" i="9"/>
  <c r="BW40" i="9"/>
  <c r="C33" i="7" s="1"/>
  <c r="G43" i="9"/>
  <c r="BW41" i="9"/>
  <c r="C34" i="7" s="1"/>
  <c r="G44" i="9"/>
  <c r="BW42" i="9"/>
  <c r="C35" i="7" s="1"/>
  <c r="G45" i="9"/>
  <c r="BW43" i="9"/>
  <c r="C36" i="7" s="1"/>
  <c r="G46" i="9"/>
  <c r="BW44" i="9"/>
  <c r="C37" i="7" s="1"/>
  <c r="G47" i="9"/>
  <c r="BW45" i="9"/>
  <c r="C38" i="7" s="1"/>
  <c r="G48" i="9"/>
  <c r="BW46" i="9"/>
  <c r="C39" i="7" s="1"/>
  <c r="G49" i="9"/>
  <c r="BW47" i="9"/>
  <c r="C40" i="7" s="1"/>
  <c r="G50" i="9"/>
  <c r="BW48" i="9"/>
  <c r="C41" i="7" s="1"/>
  <c r="G51" i="9"/>
  <c r="BW49" i="9"/>
  <c r="C42" i="7" s="1"/>
  <c r="G52" i="9"/>
  <c r="BW50" i="9"/>
  <c r="C43" i="7" s="1"/>
  <c r="G53" i="9"/>
  <c r="BW51" i="9"/>
  <c r="C44" i="7" s="1"/>
  <c r="G54" i="9"/>
  <c r="BW52" i="9"/>
  <c r="C45" i="7" s="1"/>
  <c r="G55" i="9"/>
  <c r="BW53" i="9"/>
  <c r="C46" i="7" s="1"/>
  <c r="AQ59" i="9"/>
  <c r="BW57" i="9"/>
  <c r="C50" i="7" s="1"/>
  <c r="AQ61" i="9"/>
  <c r="BW59" i="9"/>
  <c r="C52" i="7" s="1"/>
  <c r="AQ60" i="9"/>
  <c r="V62" i="9"/>
  <c r="CE60" i="9"/>
  <c r="V58" i="9"/>
  <c r="V59" i="9"/>
  <c r="V60" i="9"/>
  <c r="V61" i="9"/>
  <c r="V63" i="9"/>
  <c r="CE61" i="9"/>
  <c r="V64" i="9"/>
  <c r="CE62" i="9"/>
  <c r="V65" i="9"/>
  <c r="CE63" i="9"/>
  <c r="V66" i="9"/>
  <c r="CE64" i="9"/>
  <c r="V67" i="9"/>
  <c r="CE65" i="9"/>
  <c r="V68" i="9"/>
  <c r="CE66" i="9"/>
  <c r="V69" i="9"/>
  <c r="CE67" i="9"/>
  <c r="V70" i="9"/>
  <c r="CE68" i="9"/>
  <c r="V71" i="9"/>
  <c r="CE69" i="9"/>
  <c r="V72" i="9"/>
  <c r="CE70" i="9"/>
  <c r="V73" i="9"/>
  <c r="CE71" i="9"/>
  <c r="BZ27" i="9"/>
  <c r="CB26" i="9"/>
  <c r="BZ39" i="9"/>
  <c r="CB38" i="9"/>
  <c r="BZ52" i="9"/>
  <c r="CB51" i="9"/>
  <c r="BZ71" i="9"/>
  <c r="CB70" i="9"/>
  <c r="BZ91" i="9"/>
  <c r="CB90" i="9"/>
  <c r="CA90" i="9"/>
  <c r="BZ98" i="9"/>
  <c r="CB97" i="9"/>
  <c r="AQ62" i="9"/>
  <c r="BW60" i="9"/>
  <c r="C53" i="7" s="1"/>
  <c r="AQ63" i="9"/>
  <c r="BW61" i="9"/>
  <c r="C54" i="7" s="1"/>
  <c r="AQ64" i="9"/>
  <c r="BW62" i="9"/>
  <c r="C55" i="7" s="1"/>
  <c r="AQ65" i="9"/>
  <c r="BW63" i="9"/>
  <c r="C56" i="7" s="1"/>
  <c r="AQ66" i="9"/>
  <c r="BW64" i="9"/>
  <c r="C57" i="7" s="1"/>
  <c r="AQ67" i="9"/>
  <c r="BW65" i="9"/>
  <c r="C58" i="7" s="1"/>
  <c r="AQ68" i="9"/>
  <c r="BW66" i="9"/>
  <c r="C59" i="7" s="1"/>
  <c r="AQ69" i="9"/>
  <c r="BW67" i="9"/>
  <c r="C60" i="7" s="1"/>
  <c r="AQ70" i="9"/>
  <c r="BW68" i="9"/>
  <c r="C61" i="7" s="1"/>
  <c r="AQ71" i="9"/>
  <c r="BW69" i="9"/>
  <c r="C62" i="7" s="1"/>
  <c r="AQ72" i="9"/>
  <c r="BW70" i="9"/>
  <c r="C63" i="7" s="1"/>
  <c r="AQ73" i="9"/>
  <c r="BW71" i="9"/>
  <c r="C64" i="7" s="1"/>
  <c r="BZ110" i="9"/>
  <c r="CB109" i="9"/>
  <c r="AQ74" i="9"/>
  <c r="BW72" i="9"/>
  <c r="C65" i="7" s="1"/>
  <c r="AQ75" i="9"/>
  <c r="BW73" i="9"/>
  <c r="C66" i="7" s="1"/>
  <c r="CH56" i="9"/>
  <c r="AJ60" i="9"/>
  <c r="AJ61" i="9"/>
  <c r="AJ62" i="9"/>
  <c r="AJ63" i="9"/>
  <c r="AJ64" i="9"/>
  <c r="AJ65" i="9"/>
  <c r="AJ66" i="9"/>
  <c r="AJ67" i="9"/>
  <c r="AJ68" i="9"/>
  <c r="AJ69" i="9"/>
  <c r="AJ70" i="9"/>
  <c r="CA110" i="9"/>
  <c r="CC69" i="9"/>
  <c r="BW54" i="9"/>
  <c r="C47" i="7" s="1"/>
  <c r="AQ56" i="9"/>
  <c r="BH67" i="9"/>
  <c r="BG68" i="9"/>
  <c r="AJ71" i="9"/>
  <c r="AQ57" i="9"/>
  <c r="AQ58" i="9"/>
  <c r="CA34" i="9" l="1"/>
  <c r="C27" i="7"/>
  <c r="CA33" i="9"/>
  <c r="C26" i="7"/>
  <c r="CA32" i="9"/>
  <c r="C25" i="7"/>
  <c r="CA31" i="9"/>
  <c r="C24" i="7"/>
  <c r="CA30" i="9"/>
  <c r="C23" i="7"/>
  <c r="CA26" i="9"/>
  <c r="C19" i="7"/>
  <c r="CA25" i="9"/>
  <c r="C18" i="7"/>
  <c r="CA24" i="9"/>
  <c r="C17" i="7"/>
  <c r="CA23" i="9"/>
  <c r="C16" i="7"/>
  <c r="CA22" i="9"/>
  <c r="C15" i="7"/>
  <c r="CA21" i="9"/>
  <c r="C14" i="7"/>
  <c r="CA20" i="9"/>
  <c r="C13" i="7"/>
  <c r="CA19" i="9"/>
  <c r="C12" i="7"/>
  <c r="BH68" i="9"/>
  <c r="BG69" i="9"/>
  <c r="CH54" i="9"/>
  <c r="CH73" i="9"/>
  <c r="CH72" i="9"/>
  <c r="BZ111" i="9"/>
  <c r="CB110" i="9"/>
  <c r="CH71" i="9"/>
  <c r="CA71" i="9"/>
  <c r="CH70" i="9"/>
  <c r="CA70" i="9"/>
  <c r="CH69" i="9"/>
  <c r="CA69" i="9"/>
  <c r="CH68" i="9"/>
  <c r="CA68" i="9"/>
  <c r="CC68" i="9"/>
  <c r="CH67" i="9"/>
  <c r="CA67" i="9"/>
  <c r="CC67" i="9"/>
  <c r="CH66" i="9"/>
  <c r="CA66" i="9"/>
  <c r="CC66" i="9"/>
  <c r="CH65" i="9"/>
  <c r="CA65" i="9"/>
  <c r="CC65" i="9"/>
  <c r="CH64" i="9"/>
  <c r="CA64" i="9"/>
  <c r="CC64" i="9"/>
  <c r="CH63" i="9"/>
  <c r="CA63" i="9"/>
  <c r="CC63" i="9"/>
  <c r="CH62" i="9"/>
  <c r="CA62" i="9"/>
  <c r="CC62" i="9"/>
  <c r="CH61" i="9"/>
  <c r="CA61" i="9"/>
  <c r="CC61" i="9"/>
  <c r="CH60" i="9"/>
  <c r="CA60" i="9"/>
  <c r="CC60" i="9"/>
  <c r="BZ99" i="9"/>
  <c r="CB98" i="9"/>
  <c r="CA98" i="9"/>
  <c r="BZ92" i="9"/>
  <c r="CB91" i="9"/>
  <c r="CA91" i="9"/>
  <c r="BZ72" i="9"/>
  <c r="CB71" i="9"/>
  <c r="CC71" i="9" s="1"/>
  <c r="BZ53" i="9"/>
  <c r="CB52" i="9"/>
  <c r="BZ40" i="9"/>
  <c r="CB39" i="9"/>
  <c r="BZ28" i="9"/>
  <c r="CB27" i="9"/>
  <c r="CH59" i="9"/>
  <c r="CA59" i="9"/>
  <c r="CC59" i="9"/>
  <c r="CH57" i="9"/>
  <c r="CA57" i="9"/>
  <c r="CH53" i="9"/>
  <c r="CA53" i="9"/>
  <c r="CH52" i="9"/>
  <c r="CA52" i="9"/>
  <c r="CH51" i="9"/>
  <c r="CA51" i="9"/>
  <c r="CH50" i="9"/>
  <c r="CA50" i="9"/>
  <c r="CH49" i="9"/>
  <c r="CA49" i="9"/>
  <c r="CH48" i="9"/>
  <c r="CA48" i="9"/>
  <c r="CH47" i="9"/>
  <c r="CA47" i="9"/>
  <c r="CH46" i="9"/>
  <c r="CA46" i="9"/>
  <c r="CH45" i="9"/>
  <c r="CA45" i="9"/>
  <c r="CH44" i="9"/>
  <c r="CH43" i="9"/>
  <c r="CH42" i="9"/>
  <c r="CH41" i="9"/>
  <c r="CH40" i="9"/>
  <c r="CA40" i="9"/>
  <c r="CH39" i="9"/>
  <c r="CA39" i="9"/>
  <c r="CH38" i="9"/>
  <c r="CA38" i="9"/>
  <c r="CH37" i="9"/>
  <c r="CA37" i="9"/>
  <c r="CH36" i="9"/>
  <c r="CA36" i="9"/>
  <c r="CH35" i="9"/>
  <c r="CA35" i="9"/>
  <c r="CC70" i="9"/>
  <c r="Z2" i="9"/>
  <c r="CA28" i="9"/>
  <c r="CA27" i="9"/>
  <c r="BZ29" i="9" l="1"/>
  <c r="CB28" i="9"/>
  <c r="BZ41" i="9"/>
  <c r="CB40" i="9"/>
  <c r="BZ54" i="9"/>
  <c r="CB53" i="9"/>
  <c r="BZ73" i="9"/>
  <c r="CB72" i="9"/>
  <c r="CC72" i="9" s="1"/>
  <c r="CB92" i="9"/>
  <c r="CA92" i="9"/>
  <c r="BZ100" i="9"/>
  <c r="CB99" i="9"/>
  <c r="CA99" i="9"/>
  <c r="BZ112" i="9"/>
  <c r="CB111" i="9"/>
  <c r="CA111" i="9"/>
  <c r="BH69" i="9"/>
  <c r="BG70" i="9"/>
  <c r="CA72" i="9"/>
  <c r="BH70" i="9" l="1"/>
  <c r="BG71" i="9"/>
  <c r="BZ113" i="9"/>
  <c r="CB112" i="9"/>
  <c r="CA112" i="9"/>
  <c r="BZ101" i="9"/>
  <c r="CB100" i="9"/>
  <c r="CA100" i="9"/>
  <c r="BZ74" i="9"/>
  <c r="CB73" i="9"/>
  <c r="CC73" i="9" s="1"/>
  <c r="CA73" i="9"/>
  <c r="BZ55" i="9"/>
  <c r="CB54" i="9"/>
  <c r="CA54" i="9"/>
  <c r="BZ42" i="9"/>
  <c r="CB41" i="9"/>
  <c r="CA41" i="9"/>
  <c r="CB29" i="9"/>
  <c r="CA29" i="9"/>
  <c r="BZ43" i="9" l="1"/>
  <c r="CB42" i="9"/>
  <c r="CA42" i="9"/>
  <c r="BZ56" i="9"/>
  <c r="CB55" i="9"/>
  <c r="CA55" i="9"/>
  <c r="CB74" i="9"/>
  <c r="CC74" i="9" s="1"/>
  <c r="CA74" i="9"/>
  <c r="BZ102" i="9"/>
  <c r="CB101" i="9"/>
  <c r="CA101" i="9"/>
  <c r="BZ114" i="9"/>
  <c r="CB113" i="9"/>
  <c r="CA113" i="9"/>
  <c r="BH71" i="9"/>
  <c r="BG72" i="9"/>
  <c r="BH72" i="9" l="1"/>
  <c r="BG73" i="9"/>
  <c r="BZ115" i="9"/>
  <c r="CB114" i="9"/>
  <c r="CA114" i="9"/>
  <c r="BZ103" i="9"/>
  <c r="CB102" i="9"/>
  <c r="CA102" i="9"/>
  <c r="CB56" i="9"/>
  <c r="CA56" i="9"/>
  <c r="BZ44" i="9"/>
  <c r="CB43" i="9"/>
  <c r="CA43" i="9"/>
  <c r="CB44" i="9" l="1"/>
  <c r="CA44" i="9"/>
  <c r="BZ104" i="9"/>
  <c r="CB103" i="9"/>
  <c r="CA103" i="9"/>
  <c r="BZ116" i="9"/>
  <c r="CB115" i="9"/>
  <c r="CA115" i="9"/>
  <c r="BH73" i="9"/>
  <c r="BG74" i="9"/>
  <c r="BH74" i="9" l="1"/>
  <c r="BG75" i="9"/>
  <c r="BZ117" i="9"/>
  <c r="CB116" i="9"/>
  <c r="CA116" i="9"/>
  <c r="CB104" i="9"/>
  <c r="CA104" i="9"/>
  <c r="BZ118" i="9" l="1"/>
  <c r="CB117" i="9"/>
  <c r="CA117" i="9"/>
  <c r="BH75" i="9"/>
  <c r="BG76" i="9"/>
  <c r="BG77" i="9" l="1"/>
  <c r="BH76" i="9"/>
  <c r="BZ119" i="9"/>
  <c r="CB118" i="9"/>
  <c r="CA118" i="9"/>
  <c r="BZ120" i="9" l="1"/>
  <c r="CB119" i="9"/>
  <c r="CA119" i="9"/>
  <c r="BH77" i="9"/>
  <c r="BG78" i="9"/>
  <c r="BH78" i="9" l="1"/>
  <c r="BG79" i="9"/>
  <c r="BZ121" i="9"/>
  <c r="CB120" i="9"/>
  <c r="CA120" i="9"/>
  <c r="BZ122" i="9" l="1"/>
  <c r="CB121" i="9"/>
  <c r="CA121" i="9"/>
  <c r="BH79" i="9"/>
  <c r="BG80" i="9"/>
  <c r="BH80" i="9" l="1"/>
  <c r="BG81" i="9"/>
  <c r="BZ123" i="9"/>
  <c r="CB122" i="9"/>
  <c r="CA122" i="9"/>
  <c r="BZ124" i="9" l="1"/>
  <c r="CB123" i="9"/>
  <c r="CA123" i="9"/>
  <c r="BH81" i="9"/>
  <c r="BG82" i="9"/>
  <c r="BH82" i="9" l="1"/>
  <c r="BG83" i="9"/>
  <c r="BZ125" i="9"/>
  <c r="CB124" i="9"/>
  <c r="CA124" i="9"/>
  <c r="CB125" i="9" l="1"/>
  <c r="CA125" i="9"/>
  <c r="BH83" i="9"/>
  <c r="BG84" i="9"/>
  <c r="BH84" i="9" l="1"/>
  <c r="BG85" i="9"/>
  <c r="BH85" i="9" l="1"/>
  <c r="BG86" i="9"/>
  <c r="BH86" i="9" l="1"/>
  <c r="BG87" i="9"/>
  <c r="BH87" i="9" l="1"/>
  <c r="BG88" i="9"/>
  <c r="BH88" i="9" l="1"/>
  <c r="BG89" i="9"/>
  <c r="BH89" i="9" l="1"/>
  <c r="BG90" i="9"/>
  <c r="BH90" i="9" l="1"/>
  <c r="BG91" i="9"/>
  <c r="BH91" i="9" l="1"/>
  <c r="BG92" i="9"/>
  <c r="BH92" i="9" l="1"/>
  <c r="BG93" i="9"/>
  <c r="BH93" i="9" l="1"/>
  <c r="BG94" i="9"/>
  <c r="BH94" i="9" l="1"/>
  <c r="BG95" i="9"/>
  <c r="BH95" i="9" l="1"/>
  <c r="BG96" i="9"/>
  <c r="BH96" i="9" l="1"/>
  <c r="BG97" i="9"/>
  <c r="BH97" i="9" l="1"/>
  <c r="BG98" i="9"/>
  <c r="BH98" i="9" l="1"/>
  <c r="BG99" i="9"/>
  <c r="BH99" i="9" l="1"/>
  <c r="BG100" i="9"/>
  <c r="BH100" i="9" l="1"/>
  <c r="BG101" i="9"/>
  <c r="BH101" i="9" l="1"/>
  <c r="BG102" i="9"/>
  <c r="BH102" i="9" l="1"/>
  <c r="BG103" i="9"/>
  <c r="BH103" i="9" l="1"/>
  <c r="BG104" i="9"/>
  <c r="BH104" i="9" l="1"/>
  <c r="BG105" i="9"/>
  <c r="BH105" i="9" l="1"/>
  <c r="BG106" i="9"/>
  <c r="BH106" i="9" l="1"/>
  <c r="BG107" i="9"/>
  <c r="BH107" i="9" l="1"/>
  <c r="BG108" i="9"/>
  <c r="BH108" i="9" l="1"/>
  <c r="BG109" i="9"/>
  <c r="BH109" i="9" l="1"/>
  <c r="BG110" i="9"/>
  <c r="BH110" i="9" l="1"/>
  <c r="BG111" i="9"/>
  <c r="BH111" i="9" l="1"/>
  <c r="BG112" i="9"/>
  <c r="BH112" i="9" l="1"/>
  <c r="BG113" i="9"/>
  <c r="BH113" i="9" l="1"/>
  <c r="BG114" i="9"/>
  <c r="BH114" i="9" l="1"/>
  <c r="BG115" i="9"/>
  <c r="BH115" i="9" l="1"/>
  <c r="BG116" i="9"/>
  <c r="BH116" i="9" l="1"/>
  <c r="BG117" i="9"/>
  <c r="BH117" i="9" l="1"/>
  <c r="BG118" i="9"/>
  <c r="BH118" i="9" l="1"/>
  <c r="BG119" i="9"/>
  <c r="BH119" i="9" l="1"/>
  <c r="BG120" i="9"/>
  <c r="BH120" i="9" l="1"/>
  <c r="BG121" i="9"/>
  <c r="BH121" i="9" l="1"/>
  <c r="BG122" i="9"/>
  <c r="BH122" i="9" l="1"/>
  <c r="BG123" i="9"/>
  <c r="BH123" i="9" l="1"/>
  <c r="BG124" i="9"/>
  <c r="BH124" i="9" l="1"/>
  <c r="BG125" i="9"/>
  <c r="BH125" i="9" s="1"/>
</calcChain>
</file>

<file path=xl/comments1.xml><?xml version="1.0" encoding="utf-8"?>
<comments xmlns="http://schemas.openxmlformats.org/spreadsheetml/2006/main">
  <authors>
    <author>Author</author>
  </authors>
  <commentList>
    <comment ref="C12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export 1 maart - 31 december</t>
        </r>
      </text>
    </comment>
    <comment ref="D12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export 1 maart - 31 december</t>
        </r>
      </text>
    </comment>
    <comment ref="E12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export 1 maart - 31 december</t>
        </r>
      </text>
    </comment>
    <comment ref="C12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import in Engeland</t>
        </r>
      </text>
    </comment>
    <comment ref="D12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import in Engeland</t>
        </r>
      </text>
    </comment>
    <comment ref="E12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import in Engeland</t>
        </r>
      </text>
    </comment>
    <comment ref="C12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import in Engeland</t>
        </r>
      </text>
    </comment>
    <comment ref="D12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import in Engeland</t>
        </r>
      </text>
    </comment>
    <comment ref="E12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import in Engeland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J125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estimate based on average price difference between refined and syrup between 1609 and 1700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BZ30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Reesse, I, app. A, ix, request aan vroedschap 1661</t>
        </r>
      </text>
    </comment>
    <comment ref="AV4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98897 according to Reesse</t>
        </r>
      </text>
    </comment>
    <comment ref="AO4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3900 crates of sugar taken from the Portuguese at Bahia in 1624 (Den Heijer: 38)</t>
        </r>
      </text>
    </comment>
    <comment ref="X5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plus 63 hoeden, 59 vaten en 1 pijp</t>
        </r>
      </text>
    </comment>
    <comment ref="AA5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plus 57 vaten</t>
        </r>
      </text>
    </comment>
    <comment ref="AD5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plus 9 vaten</t>
        </r>
      </text>
    </comment>
    <comment ref="BA6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poedersuiker</t>
        </r>
      </text>
    </comment>
    <comment ref="BB67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amounts 1642-1649 estimated using price moscovado</t>
        </r>
      </text>
    </comment>
    <comment ref="AL69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de kamer zeeland liet opbrengst uit Angola aan zich voorbij gaan in dit jaar</t>
        </r>
      </text>
    </comment>
    <comment ref="BZ86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Reesse, I, app A, ix: about 60</t>
        </r>
      </text>
    </comment>
  </commentList>
</comments>
</file>

<file path=xl/sharedStrings.xml><?xml version="1.0" encoding="utf-8"?>
<sst xmlns="http://schemas.openxmlformats.org/spreadsheetml/2006/main" count="438" uniqueCount="189">
  <si>
    <t>Export suriname</t>
  </si>
  <si>
    <t>Suiker</t>
  </si>
  <si>
    <t>kg</t>
  </si>
  <si>
    <t>Koffie</t>
  </si>
  <si>
    <t>Katoen</t>
  </si>
  <si>
    <t>Cacao</t>
  </si>
  <si>
    <t>[bijlage 1, Stipriaan, Surinaams Contrast]</t>
  </si>
  <si>
    <t>Standaard nettogewicht van een oxhoofd / vat suiker</t>
  </si>
  <si>
    <t>In Suriname</t>
  </si>
  <si>
    <t>In Nederland</t>
  </si>
  <si>
    <t>1740-1749</t>
  </si>
  <si>
    <t>1750-1759</t>
  </si>
  <si>
    <t>1760-1769</t>
  </si>
  <si>
    <t>1770-1779</t>
  </si>
  <si>
    <t>1780-1789</t>
  </si>
  <si>
    <t>1790-1799</t>
  </si>
  <si>
    <t>1800-1809</t>
  </si>
  <si>
    <t>1810-1819</t>
  </si>
  <si>
    <t>[bijlage 11.1 Postma, Enthoven, Riches from Atlantic Commerce, 2003]</t>
  </si>
  <si>
    <t>[bijlage 1, Stipriaan, Surinaams Contrast, 1994]</t>
  </si>
  <si>
    <t>Export Suriname: 'Suriname Exports Compared in Nassy, Van de Spiegel, and Postma Data Collections, 1683-1794'</t>
  </si>
  <si>
    <t>Nassy</t>
  </si>
  <si>
    <t>Ships</t>
  </si>
  <si>
    <t>Hogshead</t>
  </si>
  <si>
    <t>lbs.</t>
  </si>
  <si>
    <t>Postma</t>
  </si>
  <si>
    <t>Van de Spiegel</t>
  </si>
  <si>
    <t>lbs (pond)</t>
  </si>
  <si>
    <t>voor 1695</t>
  </si>
  <si>
    <t>[bijlage 11.1 Postma, Enthove, Riches from Atlantic Commerce]</t>
  </si>
  <si>
    <t>betreft Amsterdamse pond</t>
  </si>
  <si>
    <t>1 lbs = 0.49409 kg</t>
  </si>
  <si>
    <t>[omgerekend op basis van: bijlage 11.1 Postma, Enthoven, Riches from Atlantic Commerce, 2003]</t>
  </si>
  <si>
    <t>Omrekening</t>
  </si>
  <si>
    <t>1 lbs</t>
  </si>
  <si>
    <t>in kg</t>
  </si>
  <si>
    <t>Maximum</t>
  </si>
  <si>
    <t>Minimum</t>
  </si>
  <si>
    <t>TOTAAL</t>
  </si>
  <si>
    <t>Gemiddelde</t>
  </si>
  <si>
    <t>[bijlage 2, Stipriaan, Surinaams Contrast, 1994]</t>
  </si>
  <si>
    <t>Prijs van Surinaamse suiker, koffie en katoen in Nederland</t>
  </si>
  <si>
    <t>Amsterdam</t>
  </si>
  <si>
    <t>Bronnen: Posthumus 1943, I; Staatkundig en Staathuishoudkundig Jaarboekje 1873:277; GAR: Collectie-Hudig, 659-687; ARA: SOB&amp;W 1828-1876, 3026; ARA: MvK, A796.</t>
  </si>
  <si>
    <t>[tabel 11.7, Enthoven, Postma, Riches from Atlantic Commerce, 2003]</t>
  </si>
  <si>
    <t>Market Value of Suriname Commodities, 1683-1794</t>
  </si>
  <si>
    <t>Bronnen: Posthumus 1946, 1:126-128, 186-87, 197-98, 285-87, 507; Van de Voort, De Westindische plantages, 77-78.</t>
  </si>
  <si>
    <t>ct</t>
  </si>
  <si>
    <t>per kg</t>
  </si>
  <si>
    <t>gulden</t>
  </si>
  <si>
    <t>per lb</t>
  </si>
  <si>
    <t>Gemiddelden per periode!!!</t>
  </si>
  <si>
    <t>Gemiddeld per 10 jaar [5 voorgaande en 4 volgende jaren]</t>
  </si>
  <si>
    <t>Gemiddeld per jaar</t>
  </si>
  <si>
    <t>Smoothing with bandwidth 500</t>
  </si>
  <si>
    <t>Vanaf 1695 prijzen van 1694 gebruikt</t>
  </si>
  <si>
    <t>Year</t>
  </si>
  <si>
    <t>Processed</t>
  </si>
  <si>
    <t xml:space="preserve">Imported </t>
  </si>
  <si>
    <t>Gross profit</t>
  </si>
  <si>
    <t>Net profit</t>
  </si>
  <si>
    <t>Additional costs as % of raw sugar input</t>
  </si>
  <si>
    <t>Net profits</t>
  </si>
  <si>
    <t>Price</t>
  </si>
  <si>
    <t>Value</t>
  </si>
  <si>
    <t>Estimated annual prices</t>
  </si>
  <si>
    <t xml:space="preserve">Value </t>
  </si>
  <si>
    <t>Blanco</t>
  </si>
  <si>
    <t>Other</t>
  </si>
  <si>
    <t>Value added imports</t>
  </si>
  <si>
    <t>sugar</t>
  </si>
  <si>
    <t>refiners</t>
  </si>
  <si>
    <t>with costs at 15% value of sugar used</t>
  </si>
  <si>
    <t>refined</t>
  </si>
  <si>
    <t>white candy</t>
  </si>
  <si>
    <t>Syrup</t>
  </si>
  <si>
    <t>production</t>
  </si>
  <si>
    <t>Moscovade</t>
  </si>
  <si>
    <t>Brazilian white</t>
  </si>
  <si>
    <t>Surinam</t>
  </si>
  <si>
    <t>imports</t>
  </si>
  <si>
    <t>raw in proces</t>
  </si>
  <si>
    <t>Sugar available for exports</t>
  </si>
  <si>
    <t>Total sales</t>
  </si>
  <si>
    <t>of which</t>
  </si>
  <si>
    <t>Exportable</t>
  </si>
  <si>
    <t xml:space="preserve">Exportable </t>
  </si>
  <si>
    <t>Holland</t>
  </si>
  <si>
    <t>from Holland</t>
  </si>
  <si>
    <t>from DR</t>
  </si>
  <si>
    <t>Refined</t>
  </si>
  <si>
    <t>Candy</t>
  </si>
  <si>
    <t xml:space="preserve">Year         </t>
  </si>
  <si>
    <t>Imports to Antwerp (Pohl)</t>
  </si>
  <si>
    <t>Imports from Sao Tome</t>
  </si>
  <si>
    <t>Imports from Brazil (Particulier)</t>
  </si>
  <si>
    <t>Imports from Brazil (WIC)</t>
  </si>
  <si>
    <t>Watjen 1921: 315-323; Mauro 1960: 249-250</t>
  </si>
  <si>
    <t>WIC privateering</t>
  </si>
  <si>
    <t>Imports from Java</t>
  </si>
  <si>
    <t>VOC Sales</t>
  </si>
  <si>
    <t>Kist = 483 kilo (Thijs 1979: 26)</t>
  </si>
  <si>
    <t>Imports from Caribean (Barbados, St. Eustatius, St . Christoffel, Statie)</t>
  </si>
  <si>
    <t>Imports from Surinam</t>
  </si>
  <si>
    <t>VERZAMELTABEL</t>
  </si>
  <si>
    <t>Refineries</t>
  </si>
  <si>
    <t>Annual Imposta Revenues: Vlessing: 228</t>
  </si>
  <si>
    <t>Sugar from Surinam and other places imported to Zeeland Chamber WIC</t>
  </si>
  <si>
    <t>Watjen 1921: 319; Poelwijk 2003: 53</t>
  </si>
  <si>
    <t>Brazil 1637-1643</t>
  </si>
  <si>
    <t>Glamann 1958: 153; Reesse I: CXIII-C</t>
  </si>
  <si>
    <t>Enthoven, Appendix 11.1, p. 453</t>
  </si>
  <si>
    <t>Reesse, Suikerhandel, CXXI</t>
  </si>
  <si>
    <t>Source</t>
  </si>
  <si>
    <t>Kisten</t>
  </si>
  <si>
    <t>Amst pond</t>
  </si>
  <si>
    <t>Kilogram</t>
  </si>
  <si>
    <t>KILOGRAM</t>
  </si>
  <si>
    <t>AROBES</t>
  </si>
  <si>
    <t>BLANCO</t>
  </si>
  <si>
    <t>MUSCAVADO</t>
  </si>
  <si>
    <t>PAMEL (PANELEN)</t>
  </si>
  <si>
    <t>TOTAAL (kilogram)</t>
  </si>
  <si>
    <t>TOT. GENERAAL</t>
  </si>
  <si>
    <t>%blanco</t>
  </si>
  <si>
    <t>AANDEEL HOLLAND</t>
  </si>
  <si>
    <t xml:space="preserve">De Laet, </t>
  </si>
  <si>
    <t>Per ultimo april</t>
  </si>
  <si>
    <t>Java imports</t>
  </si>
  <si>
    <t>Cumulatief</t>
  </si>
  <si>
    <t xml:space="preserve">Cumulatief </t>
  </si>
  <si>
    <t>TOTAAL GENERAAL</t>
  </si>
  <si>
    <t>Stipriaan, 433</t>
  </si>
  <si>
    <t>Import in kilograms</t>
  </si>
  <si>
    <t>Poelwijk 2003, 56</t>
  </si>
  <si>
    <t xml:space="preserve">Proxy of business volume Portuguese Jews in Amsterdam </t>
  </si>
  <si>
    <t>Ponden</t>
  </si>
  <si>
    <t>kilogram</t>
  </si>
  <si>
    <t xml:space="preserve">Pamel </t>
  </si>
  <si>
    <t>Pamel</t>
  </si>
  <si>
    <t>Arobe</t>
  </si>
  <si>
    <t>Muscavado</t>
  </si>
  <si>
    <t>Totaal</t>
  </si>
  <si>
    <t xml:space="preserve">Amount </t>
  </si>
  <si>
    <t>Measure</t>
  </si>
  <si>
    <t>Amst. Ponden</t>
  </si>
  <si>
    <t>Quality</t>
  </si>
  <si>
    <t>Value (gld)</t>
  </si>
  <si>
    <t>Pounds</t>
  </si>
  <si>
    <t>for Amsterdam</t>
  </si>
  <si>
    <t>Java</t>
  </si>
  <si>
    <t>VOC</t>
  </si>
  <si>
    <t xml:space="preserve">Totaal  </t>
  </si>
  <si>
    <t>Lbs</t>
  </si>
  <si>
    <t>Correction</t>
  </si>
  <si>
    <t>Dutch Republic</t>
  </si>
  <si>
    <t>CUSTOMS</t>
  </si>
  <si>
    <t>SRs/Imports/1000</t>
  </si>
  <si>
    <t>(guilders</t>
  </si>
  <si>
    <t>Imposta/Braz. Import</t>
  </si>
  <si>
    <t>chinese poeder en kandij</t>
  </si>
  <si>
    <t>kandijsuiker</t>
  </si>
  <si>
    <t>witte  chineesche poeder</t>
  </si>
  <si>
    <t>kisten</t>
  </si>
  <si>
    <t>bengaalsche suiker</t>
  </si>
  <si>
    <t>hoeden</t>
  </si>
  <si>
    <t>onbekend</t>
  </si>
  <si>
    <t>chineesche poeder, zwarte Siamsche en kandijsuiker</t>
  </si>
  <si>
    <t>witte chineesche poedersuiker</t>
  </si>
  <si>
    <t>chineesche, poeder, bruine Siamsche kandij bataviasche, bantamsche en Bengaalsche suiker</t>
  </si>
  <si>
    <t>poeder en kandijsuiker</t>
  </si>
  <si>
    <t>chineesche, bantamsche en siamsche suiker</t>
  </si>
  <si>
    <t>chineesche poedersuiker</t>
  </si>
  <si>
    <t>poedersuiker</t>
  </si>
  <si>
    <t>poeder, kandij, bengaalsche, chineesche en broodsuiker</t>
  </si>
  <si>
    <t>chineesche, bengaalsche en bataviasche poedersuiker</t>
  </si>
  <si>
    <t>Gelderblom</t>
  </si>
  <si>
    <t>Totaal Gelderblom 17e eeuw</t>
  </si>
  <si>
    <t>West en Oost (incl. Java, Brazilie)</t>
  </si>
  <si>
    <t>Totaal Export uit Suriname (= import Nederland uit West)</t>
  </si>
  <si>
    <t>Omvang</t>
  </si>
  <si>
    <t>Prijzen</t>
  </si>
  <si>
    <t>Totaal Surinaamse producten</t>
  </si>
  <si>
    <t>Opbrengst Surinaamse export</t>
  </si>
  <si>
    <t xml:space="preserve">Laag </t>
  </si>
  <si>
    <t>Hoog</t>
  </si>
  <si>
    <t>Gemiddeld</t>
  </si>
  <si>
    <t>Schatting</t>
  </si>
  <si>
    <t>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</si>
</sst>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57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theme="4" tint="0.79998168889431442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164" fontId="5" fillId="0" borderId="0" xfId="0" applyNumberFormat="1" applyFont="1"/>
    <xf numFmtId="0" fontId="1" fillId="0" borderId="1" xfId="0" applyNumberFormat="1" applyFont="1" applyBorder="1"/>
    <xf numFmtId="0" fontId="0" fillId="0" borderId="2" xfId="0" applyNumberFormat="1" applyBorder="1"/>
    <xf numFmtId="0" fontId="0" fillId="0" borderId="3" xfId="0" applyNumberForma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2" fontId="0" fillId="0" borderId="0" xfId="0" applyNumberFormat="1"/>
    <xf numFmtId="1" fontId="0" fillId="0" borderId="0" xfId="0" applyNumberFormat="1"/>
    <xf numFmtId="2" fontId="0" fillId="0" borderId="0" xfId="0" applyNumberFormat="1" applyProtection="1">
      <protection locked="0"/>
    </xf>
    <xf numFmtId="165" fontId="0" fillId="0" borderId="0" xfId="1" applyNumberFormat="1" applyFont="1"/>
    <xf numFmtId="0" fontId="0" fillId="0" borderId="0" xfId="0" applyProtection="1"/>
    <xf numFmtId="2" fontId="0" fillId="0" borderId="0" xfId="0" applyNumberFormat="1" applyProtection="1"/>
    <xf numFmtId="0" fontId="9" fillId="0" borderId="0" xfId="0" applyFont="1"/>
    <xf numFmtId="0" fontId="0" fillId="0" borderId="0" xfId="0" applyAlignment="1" applyProtection="1"/>
    <xf numFmtId="165" fontId="0" fillId="0" borderId="0" xfId="0" applyNumberFormat="1"/>
    <xf numFmtId="0" fontId="7" fillId="0" borderId="0" xfId="0" applyFont="1" applyBorder="1" applyAlignment="1"/>
    <xf numFmtId="0" fontId="1" fillId="0" borderId="0" xfId="0" applyFont="1" applyBorder="1" applyAlignment="1"/>
    <xf numFmtId="0" fontId="7" fillId="2" borderId="0" xfId="0" applyFont="1" applyFill="1" applyBorder="1" applyAlignment="1"/>
    <xf numFmtId="0" fontId="0" fillId="2" borderId="0" xfId="0" applyFill="1"/>
    <xf numFmtId="0" fontId="10" fillId="0" borderId="0" xfId="0" applyFont="1"/>
    <xf numFmtId="0" fontId="7" fillId="0" borderId="0" xfId="0" applyFont="1" applyFill="1" applyBorder="1" applyAlignment="1">
      <alignment vertical="top"/>
    </xf>
    <xf numFmtId="0" fontId="1" fillId="0" borderId="0" xfId="0" applyFont="1" applyAlignment="1"/>
    <xf numFmtId="0" fontId="1" fillId="2" borderId="0" xfId="0" applyFont="1" applyFill="1" applyAlignment="1"/>
    <xf numFmtId="1" fontId="1" fillId="0" borderId="0" xfId="0" applyNumberFormat="1" applyFont="1" applyAlignment="1"/>
    <xf numFmtId="0" fontId="11" fillId="0" borderId="0" xfId="0" applyFont="1"/>
    <xf numFmtId="1" fontId="11" fillId="0" borderId="0" xfId="0" applyNumberFormat="1" applyFont="1"/>
    <xf numFmtId="1" fontId="10" fillId="0" borderId="0" xfId="0" applyNumberFormat="1" applyFont="1"/>
    <xf numFmtId="165" fontId="10" fillId="0" borderId="0" xfId="1" applyNumberFormat="1" applyFont="1"/>
    <xf numFmtId="1" fontId="0" fillId="0" borderId="0" xfId="1" applyNumberFormat="1" applyFont="1"/>
    <xf numFmtId="0" fontId="12" fillId="0" borderId="0" xfId="0" applyFont="1"/>
    <xf numFmtId="1" fontId="12" fillId="0" borderId="0" xfId="0" applyNumberFormat="1" applyFont="1"/>
    <xf numFmtId="10" fontId="0" fillId="0" borderId="0" xfId="1" applyNumberFormat="1" applyFont="1"/>
    <xf numFmtId="166" fontId="0" fillId="0" borderId="0" xfId="0" applyNumberFormat="1"/>
    <xf numFmtId="9" fontId="0" fillId="0" borderId="0" xfId="1" applyFont="1"/>
    <xf numFmtId="10" fontId="0" fillId="0" borderId="0" xfId="0" applyNumberFormat="1"/>
    <xf numFmtId="2" fontId="10" fillId="0" borderId="0" xfId="0" applyNumberFormat="1" applyFont="1"/>
    <xf numFmtId="1" fontId="7" fillId="3" borderId="0" xfId="0" applyNumberFormat="1" applyFont="1" applyFill="1"/>
    <xf numFmtId="4" fontId="0" fillId="0" borderId="0" xfId="0" applyNumberForma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3.xml"/><Relationship Id="rId15" Type="http://schemas.openxmlformats.org/officeDocument/2006/relationships/calcChain" Target="calcChain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4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91843352070732E-2"/>
          <c:y val="2.3220954291929038E-2"/>
          <c:w val="0.9054195762260917"/>
          <c:h val="0.89195640846429669"/>
        </c:manualLayout>
      </c:layout>
      <c:lineChart>
        <c:grouping val="standard"/>
        <c:varyColors val="0"/>
        <c:ser>
          <c:idx val="2"/>
          <c:order val="0"/>
          <c:tx>
            <c:v>Suiker gemiddeld</c:v>
          </c:tx>
          <c:marker>
            <c:symbol val="none"/>
          </c:marker>
          <c:cat>
            <c:numRef>
              <c:f>'1- Export'!$A$9:$A$141</c:f>
              <c:numCache>
                <c:formatCode>General</c:formatCode>
                <c:ptCount val="133"/>
                <c:pt idx="0">
                  <c:v>1683</c:v>
                </c:pt>
                <c:pt idx="1">
                  <c:v>1684</c:v>
                </c:pt>
                <c:pt idx="2">
                  <c:v>1685</c:v>
                </c:pt>
                <c:pt idx="3">
                  <c:v>1686</c:v>
                </c:pt>
                <c:pt idx="4">
                  <c:v>1687</c:v>
                </c:pt>
                <c:pt idx="5">
                  <c:v>1688</c:v>
                </c:pt>
                <c:pt idx="6">
                  <c:v>1689</c:v>
                </c:pt>
                <c:pt idx="7">
                  <c:v>1690</c:v>
                </c:pt>
                <c:pt idx="8">
                  <c:v>1691</c:v>
                </c:pt>
                <c:pt idx="9">
                  <c:v>1692</c:v>
                </c:pt>
                <c:pt idx="10">
                  <c:v>1693</c:v>
                </c:pt>
                <c:pt idx="11">
                  <c:v>1694</c:v>
                </c:pt>
                <c:pt idx="12">
                  <c:v>1695</c:v>
                </c:pt>
                <c:pt idx="13">
                  <c:v>1696</c:v>
                </c:pt>
                <c:pt idx="14">
                  <c:v>1697</c:v>
                </c:pt>
                <c:pt idx="15">
                  <c:v>1698</c:v>
                </c:pt>
                <c:pt idx="16">
                  <c:v>1699</c:v>
                </c:pt>
                <c:pt idx="17">
                  <c:v>1700</c:v>
                </c:pt>
                <c:pt idx="18">
                  <c:v>1701</c:v>
                </c:pt>
                <c:pt idx="19">
                  <c:v>1702</c:v>
                </c:pt>
                <c:pt idx="20">
                  <c:v>1703</c:v>
                </c:pt>
                <c:pt idx="21">
                  <c:v>1704</c:v>
                </c:pt>
                <c:pt idx="22">
                  <c:v>1705</c:v>
                </c:pt>
                <c:pt idx="23">
                  <c:v>1706</c:v>
                </c:pt>
                <c:pt idx="24">
                  <c:v>1707</c:v>
                </c:pt>
                <c:pt idx="25">
                  <c:v>1708</c:v>
                </c:pt>
                <c:pt idx="26">
                  <c:v>1709</c:v>
                </c:pt>
                <c:pt idx="27">
                  <c:v>1710</c:v>
                </c:pt>
                <c:pt idx="28">
                  <c:v>1711</c:v>
                </c:pt>
                <c:pt idx="29">
                  <c:v>1712</c:v>
                </c:pt>
                <c:pt idx="30">
                  <c:v>1713</c:v>
                </c:pt>
                <c:pt idx="31">
                  <c:v>1714</c:v>
                </c:pt>
                <c:pt idx="32">
                  <c:v>1715</c:v>
                </c:pt>
                <c:pt idx="33">
                  <c:v>1716</c:v>
                </c:pt>
                <c:pt idx="34">
                  <c:v>1717</c:v>
                </c:pt>
                <c:pt idx="35">
                  <c:v>1718</c:v>
                </c:pt>
                <c:pt idx="36">
                  <c:v>1719</c:v>
                </c:pt>
                <c:pt idx="37">
                  <c:v>1720</c:v>
                </c:pt>
                <c:pt idx="38">
                  <c:v>1721</c:v>
                </c:pt>
                <c:pt idx="39">
                  <c:v>1722</c:v>
                </c:pt>
                <c:pt idx="40">
                  <c:v>1723</c:v>
                </c:pt>
                <c:pt idx="41">
                  <c:v>1724</c:v>
                </c:pt>
                <c:pt idx="42">
                  <c:v>1725</c:v>
                </c:pt>
                <c:pt idx="43">
                  <c:v>1726</c:v>
                </c:pt>
                <c:pt idx="44">
                  <c:v>1727</c:v>
                </c:pt>
                <c:pt idx="45">
                  <c:v>1728</c:v>
                </c:pt>
                <c:pt idx="46">
                  <c:v>1729</c:v>
                </c:pt>
                <c:pt idx="47">
                  <c:v>1730</c:v>
                </c:pt>
                <c:pt idx="48">
                  <c:v>1731</c:v>
                </c:pt>
                <c:pt idx="49">
                  <c:v>1732</c:v>
                </c:pt>
                <c:pt idx="50">
                  <c:v>1733</c:v>
                </c:pt>
                <c:pt idx="51">
                  <c:v>1734</c:v>
                </c:pt>
                <c:pt idx="52">
                  <c:v>1735</c:v>
                </c:pt>
                <c:pt idx="53">
                  <c:v>1736</c:v>
                </c:pt>
                <c:pt idx="54">
                  <c:v>1737</c:v>
                </c:pt>
                <c:pt idx="55">
                  <c:v>1738</c:v>
                </c:pt>
                <c:pt idx="56">
                  <c:v>1739</c:v>
                </c:pt>
                <c:pt idx="57">
                  <c:v>1740</c:v>
                </c:pt>
                <c:pt idx="58">
                  <c:v>1741</c:v>
                </c:pt>
                <c:pt idx="59">
                  <c:v>1742</c:v>
                </c:pt>
                <c:pt idx="60">
                  <c:v>1743</c:v>
                </c:pt>
                <c:pt idx="61">
                  <c:v>1744</c:v>
                </c:pt>
                <c:pt idx="62">
                  <c:v>1745</c:v>
                </c:pt>
                <c:pt idx="63">
                  <c:v>1746</c:v>
                </c:pt>
                <c:pt idx="64">
                  <c:v>1747</c:v>
                </c:pt>
                <c:pt idx="65">
                  <c:v>1748</c:v>
                </c:pt>
                <c:pt idx="66">
                  <c:v>1749</c:v>
                </c:pt>
                <c:pt idx="67">
                  <c:v>1750</c:v>
                </c:pt>
                <c:pt idx="68">
                  <c:v>1751</c:v>
                </c:pt>
                <c:pt idx="69">
                  <c:v>1752</c:v>
                </c:pt>
                <c:pt idx="70">
                  <c:v>1753</c:v>
                </c:pt>
                <c:pt idx="71">
                  <c:v>1754</c:v>
                </c:pt>
                <c:pt idx="72">
                  <c:v>1755</c:v>
                </c:pt>
                <c:pt idx="73">
                  <c:v>1756</c:v>
                </c:pt>
                <c:pt idx="74">
                  <c:v>1757</c:v>
                </c:pt>
                <c:pt idx="75">
                  <c:v>1758</c:v>
                </c:pt>
                <c:pt idx="76">
                  <c:v>1759</c:v>
                </c:pt>
                <c:pt idx="77">
                  <c:v>1760</c:v>
                </c:pt>
                <c:pt idx="78">
                  <c:v>1761</c:v>
                </c:pt>
                <c:pt idx="79">
                  <c:v>1762</c:v>
                </c:pt>
                <c:pt idx="80">
                  <c:v>1763</c:v>
                </c:pt>
                <c:pt idx="81">
                  <c:v>1764</c:v>
                </c:pt>
                <c:pt idx="82">
                  <c:v>1765</c:v>
                </c:pt>
                <c:pt idx="83">
                  <c:v>1766</c:v>
                </c:pt>
                <c:pt idx="84">
                  <c:v>1767</c:v>
                </c:pt>
                <c:pt idx="85">
                  <c:v>1768</c:v>
                </c:pt>
                <c:pt idx="86">
                  <c:v>1769</c:v>
                </c:pt>
                <c:pt idx="87">
                  <c:v>1770</c:v>
                </c:pt>
                <c:pt idx="88">
                  <c:v>1771</c:v>
                </c:pt>
                <c:pt idx="89">
                  <c:v>1772</c:v>
                </c:pt>
                <c:pt idx="90">
                  <c:v>1773</c:v>
                </c:pt>
                <c:pt idx="91">
                  <c:v>1774</c:v>
                </c:pt>
                <c:pt idx="92">
                  <c:v>1775</c:v>
                </c:pt>
                <c:pt idx="93">
                  <c:v>1776</c:v>
                </c:pt>
                <c:pt idx="94">
                  <c:v>1777</c:v>
                </c:pt>
                <c:pt idx="95">
                  <c:v>1778</c:v>
                </c:pt>
                <c:pt idx="96">
                  <c:v>1779</c:v>
                </c:pt>
                <c:pt idx="97">
                  <c:v>1780</c:v>
                </c:pt>
                <c:pt idx="98">
                  <c:v>1781</c:v>
                </c:pt>
                <c:pt idx="99">
                  <c:v>1782</c:v>
                </c:pt>
                <c:pt idx="100">
                  <c:v>1783</c:v>
                </c:pt>
                <c:pt idx="101">
                  <c:v>1784</c:v>
                </c:pt>
                <c:pt idx="102">
                  <c:v>1785</c:v>
                </c:pt>
                <c:pt idx="103">
                  <c:v>1786</c:v>
                </c:pt>
                <c:pt idx="104">
                  <c:v>1787</c:v>
                </c:pt>
                <c:pt idx="105">
                  <c:v>1788</c:v>
                </c:pt>
                <c:pt idx="106">
                  <c:v>1789</c:v>
                </c:pt>
                <c:pt idx="107">
                  <c:v>1790</c:v>
                </c:pt>
                <c:pt idx="108">
                  <c:v>1791</c:v>
                </c:pt>
                <c:pt idx="109">
                  <c:v>1792</c:v>
                </c:pt>
                <c:pt idx="110">
                  <c:v>1793</c:v>
                </c:pt>
                <c:pt idx="111">
                  <c:v>1794</c:v>
                </c:pt>
                <c:pt idx="112">
                  <c:v>1795</c:v>
                </c:pt>
                <c:pt idx="113">
                  <c:v>1796</c:v>
                </c:pt>
                <c:pt idx="114">
                  <c:v>1797</c:v>
                </c:pt>
                <c:pt idx="115">
                  <c:v>1798</c:v>
                </c:pt>
                <c:pt idx="116">
                  <c:v>1799</c:v>
                </c:pt>
                <c:pt idx="117">
                  <c:v>1800</c:v>
                </c:pt>
                <c:pt idx="118">
                  <c:v>1801</c:v>
                </c:pt>
                <c:pt idx="119">
                  <c:v>1802</c:v>
                </c:pt>
                <c:pt idx="120">
                  <c:v>1803</c:v>
                </c:pt>
                <c:pt idx="121">
                  <c:v>1804</c:v>
                </c:pt>
                <c:pt idx="122">
                  <c:v>1805</c:v>
                </c:pt>
                <c:pt idx="123">
                  <c:v>1806</c:v>
                </c:pt>
                <c:pt idx="124">
                  <c:v>1807</c:v>
                </c:pt>
                <c:pt idx="125">
                  <c:v>1808</c:v>
                </c:pt>
                <c:pt idx="126">
                  <c:v>1809</c:v>
                </c:pt>
                <c:pt idx="127">
                  <c:v>1810</c:v>
                </c:pt>
                <c:pt idx="128">
                  <c:v>1811</c:v>
                </c:pt>
                <c:pt idx="129">
                  <c:v>1812</c:v>
                </c:pt>
                <c:pt idx="130">
                  <c:v>1813</c:v>
                </c:pt>
                <c:pt idx="131">
                  <c:v>1814</c:v>
                </c:pt>
                <c:pt idx="132">
                  <c:v>1815</c:v>
                </c:pt>
              </c:numCache>
            </c:numRef>
          </c:cat>
          <c:val>
            <c:numRef>
              <c:f>'1- Export'!$AD$9:$AD$141</c:f>
              <c:numCache>
                <c:formatCode>#,##0</c:formatCode>
                <c:ptCount val="133"/>
                <c:pt idx="0">
                  <c:v>2256620.2002499998</c:v>
                </c:pt>
                <c:pt idx="1">
                  <c:v>2642027.6933999998</c:v>
                </c:pt>
                <c:pt idx="2">
                  <c:v>1637151.89821</c:v>
                </c:pt>
                <c:pt idx="3">
                  <c:v>1671041.53131</c:v>
                </c:pt>
                <c:pt idx="4">
                  <c:v>2700885.67056</c:v>
                </c:pt>
                <c:pt idx="5">
                  <c:v>3627935.8675799998</c:v>
                </c:pt>
                <c:pt idx="6">
                  <c:v>3124298.0724199996</c:v>
                </c:pt>
                <c:pt idx="7">
                  <c:v>2142238.3652499998</c:v>
                </c:pt>
                <c:pt idx="8">
                  <c:v>2643172.9940199996</c:v>
                </c:pt>
                <c:pt idx="9">
                  <c:v>1812089.8976999999</c:v>
                </c:pt>
                <c:pt idx="10">
                  <c:v>2031730.1958499998</c:v>
                </c:pt>
                <c:pt idx="11">
                  <c:v>4248823.1960999994</c:v>
                </c:pt>
                <c:pt idx="12">
                  <c:v>5540749.9644999998</c:v>
                </c:pt>
                <c:pt idx="13">
                  <c:v>3296469.662</c:v>
                </c:pt>
                <c:pt idx="14">
                  <c:v>4897321.2620000001</c:v>
                </c:pt>
                <c:pt idx="15">
                  <c:v>2252165.9789</c:v>
                </c:pt>
                <c:pt idx="16">
                  <c:v>3339996.52055</c:v>
                </c:pt>
                <c:pt idx="17">
                  <c:v>3623986.5054199998</c:v>
                </c:pt>
                <c:pt idx="18">
                  <c:v>4108143.3161399998</c:v>
                </c:pt>
                <c:pt idx="19">
                  <c:v>5168921.8918150002</c:v>
                </c:pt>
                <c:pt idx="20">
                  <c:v>4751181.3340624999</c:v>
                </c:pt>
                <c:pt idx="21">
                  <c:v>4211144.3384999996</c:v>
                </c:pt>
                <c:pt idx="22">
                  <c:v>5057773.708625</c:v>
                </c:pt>
                <c:pt idx="23">
                  <c:v>2991484.84375</c:v>
                </c:pt>
                <c:pt idx="24">
                  <c:v>6800302.5460000001</c:v>
                </c:pt>
                <c:pt idx="25">
                  <c:v>4499182.176</c:v>
                </c:pt>
                <c:pt idx="26">
                  <c:v>6796668.3104999997</c:v>
                </c:pt>
                <c:pt idx="27">
                  <c:v>5828075.1540000001</c:v>
                </c:pt>
                <c:pt idx="28">
                  <c:v>8022517.4869999997</c:v>
                </c:pt>
                <c:pt idx="29">
                  <c:v>8455337.4560000002</c:v>
                </c:pt>
                <c:pt idx="30">
                  <c:v>5477052.0317499992</c:v>
                </c:pt>
                <c:pt idx="31">
                  <c:v>8162963.9426999995</c:v>
                </c:pt>
                <c:pt idx="32">
                  <c:v>7255289.6497499999</c:v>
                </c:pt>
                <c:pt idx="33">
                  <c:v>6545958.69025</c:v>
                </c:pt>
                <c:pt idx="34">
                  <c:v>5389772.7239999995</c:v>
                </c:pt>
                <c:pt idx="35">
                  <c:v>4662814.0697499998</c:v>
                </c:pt>
                <c:pt idx="36">
                  <c:v>6427113.9962499999</c:v>
                </c:pt>
                <c:pt idx="37">
                  <c:v>7194488.1059999997</c:v>
                </c:pt>
                <c:pt idx="38">
                  <c:v>9650256.0019499995</c:v>
                </c:pt>
                <c:pt idx="39">
                  <c:v>11196424.210199999</c:v>
                </c:pt>
                <c:pt idx="40">
                  <c:v>7891818.5359999994</c:v>
                </c:pt>
                <c:pt idx="41">
                  <c:v>9607048.9699999988</c:v>
                </c:pt>
                <c:pt idx="42">
                  <c:v>8254162.2039999999</c:v>
                </c:pt>
                <c:pt idx="43">
                  <c:v>9275167.7152500004</c:v>
                </c:pt>
                <c:pt idx="44">
                  <c:v>9993637.4774999991</c:v>
                </c:pt>
                <c:pt idx="45">
                  <c:v>9666144.8639999982</c:v>
                </c:pt>
                <c:pt idx="46">
                  <c:v>9767001.7864999995</c:v>
                </c:pt>
                <c:pt idx="47">
                  <c:v>9953633.4360000007</c:v>
                </c:pt>
                <c:pt idx="48">
                  <c:v>8770921.4354999997</c:v>
                </c:pt>
                <c:pt idx="49">
                  <c:v>9859630.4659999982</c:v>
                </c:pt>
                <c:pt idx="50">
                  <c:v>7816774.6183999991</c:v>
                </c:pt>
                <c:pt idx="51">
                  <c:v>8440886.7919999994</c:v>
                </c:pt>
                <c:pt idx="52">
                  <c:v>6197745.492625</c:v>
                </c:pt>
                <c:pt idx="53">
                  <c:v>9643620.881000001</c:v>
                </c:pt>
                <c:pt idx="54">
                  <c:v>8029058.068</c:v>
                </c:pt>
                <c:pt idx="55">
                  <c:v>8430737.0850000009</c:v>
                </c:pt>
                <c:pt idx="56">
                  <c:v>7080654.3192499997</c:v>
                </c:pt>
                <c:pt idx="57">
                  <c:v>9010144.7359999996</c:v>
                </c:pt>
                <c:pt idx="58">
                  <c:v>9465826.6834999993</c:v>
                </c:pt>
                <c:pt idx="59">
                  <c:v>11445086.714499999</c:v>
                </c:pt>
                <c:pt idx="60">
                  <c:v>7332184.6645</c:v>
                </c:pt>
                <c:pt idx="61">
                  <c:v>8291213.022499999</c:v>
                </c:pt>
                <c:pt idx="62">
                  <c:v>8483277.4285000004</c:v>
                </c:pt>
                <c:pt idx="63">
                  <c:v>7329888.2524999995</c:v>
                </c:pt>
                <c:pt idx="64">
                  <c:v>6692053.6669999994</c:v>
                </c:pt>
                <c:pt idx="65">
                  <c:v>7400773.3839999996</c:v>
                </c:pt>
                <c:pt idx="66">
                  <c:v>8414944.2644999996</c:v>
                </c:pt>
                <c:pt idx="67">
                  <c:v>11559658.967499999</c:v>
                </c:pt>
                <c:pt idx="68">
                  <c:v>10388674.841</c:v>
                </c:pt>
                <c:pt idx="69">
                  <c:v>10558091.146</c:v>
                </c:pt>
                <c:pt idx="70">
                  <c:v>5644660.5700000003</c:v>
                </c:pt>
                <c:pt idx="71">
                  <c:v>7145390.9619999994</c:v>
                </c:pt>
                <c:pt idx="72">
                  <c:v>6009257.4809999987</c:v>
                </c:pt>
                <c:pt idx="73">
                  <c:v>8261616.4419999998</c:v>
                </c:pt>
                <c:pt idx="74">
                  <c:v>6734023.6859999988</c:v>
                </c:pt>
                <c:pt idx="75">
                  <c:v>5611019.6799999997</c:v>
                </c:pt>
                <c:pt idx="76">
                  <c:v>6902849.8024999993</c:v>
                </c:pt>
                <c:pt idx="77">
                  <c:v>8002678.8017999995</c:v>
                </c:pt>
                <c:pt idx="78">
                  <c:v>8469956.7158499993</c:v>
                </c:pt>
                <c:pt idx="79">
                  <c:v>8391618.5571999997</c:v>
                </c:pt>
                <c:pt idx="80">
                  <c:v>8306788.4426499996</c:v>
                </c:pt>
                <c:pt idx="81">
                  <c:v>8561283.1838999987</c:v>
                </c:pt>
                <c:pt idx="82">
                  <c:v>8011351.3411999997</c:v>
                </c:pt>
                <c:pt idx="83">
                  <c:v>8024843.401800001</c:v>
                </c:pt>
                <c:pt idx="84">
                  <c:v>8260452.1150000002</c:v>
                </c:pt>
                <c:pt idx="85">
                  <c:v>8465369.3612999991</c:v>
                </c:pt>
                <c:pt idx="86">
                  <c:v>8594747.9153999984</c:v>
                </c:pt>
                <c:pt idx="87">
                  <c:v>6853959.0270600002</c:v>
                </c:pt>
                <c:pt idx="88">
                  <c:v>9032216.4720199984</c:v>
                </c:pt>
                <c:pt idx="89">
                  <c:v>8514247.2373999991</c:v>
                </c:pt>
                <c:pt idx="90">
                  <c:v>7426387.1753799999</c:v>
                </c:pt>
                <c:pt idx="91">
                  <c:v>6385859.7049599998</c:v>
                </c:pt>
                <c:pt idx="92">
                  <c:v>8757748.7511400003</c:v>
                </c:pt>
                <c:pt idx="93">
                  <c:v>7261058.8484799992</c:v>
                </c:pt>
                <c:pt idx="94">
                  <c:v>7171702.0106999995</c:v>
                </c:pt>
                <c:pt idx="95">
                  <c:v>8229030.8833799995</c:v>
                </c:pt>
                <c:pt idx="96">
                  <c:v>7323589.2491199998</c:v>
                </c:pt>
                <c:pt idx="97">
                  <c:v>7027615.1782799996</c:v>
                </c:pt>
                <c:pt idx="98">
                  <c:v>2849389.5295200003</c:v>
                </c:pt>
                <c:pt idx="99">
                  <c:v>5960804.0350399995</c:v>
                </c:pt>
                <c:pt idx="100">
                  <c:v>8356916.824959999</c:v>
                </c:pt>
                <c:pt idx="101">
                  <c:v>8191169.8061599992</c:v>
                </c:pt>
                <c:pt idx="102">
                  <c:v>8260400.9976399997</c:v>
                </c:pt>
                <c:pt idx="103">
                  <c:v>6961093.5823199991</c:v>
                </c:pt>
                <c:pt idx="104">
                  <c:v>7110357.4890799997</c:v>
                </c:pt>
                <c:pt idx="105">
                  <c:v>6462001.52128</c:v>
                </c:pt>
                <c:pt idx="106">
                  <c:v>6931249.8954133326</c:v>
                </c:pt>
                <c:pt idx="107">
                  <c:v>9515579.8331999984</c:v>
                </c:pt>
                <c:pt idx="108">
                  <c:v>8419344.5047600009</c:v>
                </c:pt>
                <c:pt idx="109">
                  <c:v>7486851.2188799996</c:v>
                </c:pt>
                <c:pt idx="110">
                  <c:v>2342152.36472</c:v>
                </c:pt>
                <c:pt idx="111">
                  <c:v>10625822.315219998</c:v>
                </c:pt>
                <c:pt idx="116">
                  <c:v>3534000</c:v>
                </c:pt>
                <c:pt idx="117">
                  <c:v>1750000</c:v>
                </c:pt>
                <c:pt idx="118">
                  <c:v>10250000</c:v>
                </c:pt>
                <c:pt idx="121">
                  <c:v>11310750</c:v>
                </c:pt>
                <c:pt idx="122">
                  <c:v>5177250</c:v>
                </c:pt>
                <c:pt idx="123">
                  <c:v>9914400</c:v>
                </c:pt>
                <c:pt idx="124">
                  <c:v>10730250</c:v>
                </c:pt>
                <c:pt idx="125">
                  <c:v>8765100</c:v>
                </c:pt>
                <c:pt idx="126">
                  <c:v>7812000</c:v>
                </c:pt>
                <c:pt idx="127">
                  <c:v>8555180</c:v>
                </c:pt>
                <c:pt idx="128">
                  <c:v>10019840</c:v>
                </c:pt>
                <c:pt idx="129">
                  <c:v>7201200</c:v>
                </c:pt>
                <c:pt idx="131">
                  <c:v>7131720</c:v>
                </c:pt>
              </c:numCache>
            </c:numRef>
          </c:val>
          <c:smooth val="0"/>
        </c:ser>
        <c:ser>
          <c:idx val="5"/>
          <c:order val="1"/>
          <c:tx>
            <c:v>Koffie gemiddeld</c:v>
          </c:tx>
          <c:marker>
            <c:symbol val="none"/>
          </c:marker>
          <c:cat>
            <c:numRef>
              <c:f>'1- Export'!$A$9:$A$141</c:f>
              <c:numCache>
                <c:formatCode>General</c:formatCode>
                <c:ptCount val="133"/>
                <c:pt idx="0">
                  <c:v>1683</c:v>
                </c:pt>
                <c:pt idx="1">
                  <c:v>1684</c:v>
                </c:pt>
                <c:pt idx="2">
                  <c:v>1685</c:v>
                </c:pt>
                <c:pt idx="3">
                  <c:v>1686</c:v>
                </c:pt>
                <c:pt idx="4">
                  <c:v>1687</c:v>
                </c:pt>
                <c:pt idx="5">
                  <c:v>1688</c:v>
                </c:pt>
                <c:pt idx="6">
                  <c:v>1689</c:v>
                </c:pt>
                <c:pt idx="7">
                  <c:v>1690</c:v>
                </c:pt>
                <c:pt idx="8">
                  <c:v>1691</c:v>
                </c:pt>
                <c:pt idx="9">
                  <c:v>1692</c:v>
                </c:pt>
                <c:pt idx="10">
                  <c:v>1693</c:v>
                </c:pt>
                <c:pt idx="11">
                  <c:v>1694</c:v>
                </c:pt>
                <c:pt idx="12">
                  <c:v>1695</c:v>
                </c:pt>
                <c:pt idx="13">
                  <c:v>1696</c:v>
                </c:pt>
                <c:pt idx="14">
                  <c:v>1697</c:v>
                </c:pt>
                <c:pt idx="15">
                  <c:v>1698</c:v>
                </c:pt>
                <c:pt idx="16">
                  <c:v>1699</c:v>
                </c:pt>
                <c:pt idx="17">
                  <c:v>1700</c:v>
                </c:pt>
                <c:pt idx="18">
                  <c:v>1701</c:v>
                </c:pt>
                <c:pt idx="19">
                  <c:v>1702</c:v>
                </c:pt>
                <c:pt idx="20">
                  <c:v>1703</c:v>
                </c:pt>
                <c:pt idx="21">
                  <c:v>1704</c:v>
                </c:pt>
                <c:pt idx="22">
                  <c:v>1705</c:v>
                </c:pt>
                <c:pt idx="23">
                  <c:v>1706</c:v>
                </c:pt>
                <c:pt idx="24">
                  <c:v>1707</c:v>
                </c:pt>
                <c:pt idx="25">
                  <c:v>1708</c:v>
                </c:pt>
                <c:pt idx="26">
                  <c:v>1709</c:v>
                </c:pt>
                <c:pt idx="27">
                  <c:v>1710</c:v>
                </c:pt>
                <c:pt idx="28">
                  <c:v>1711</c:v>
                </c:pt>
                <c:pt idx="29">
                  <c:v>1712</c:v>
                </c:pt>
                <c:pt idx="30">
                  <c:v>1713</c:v>
                </c:pt>
                <c:pt idx="31">
                  <c:v>1714</c:v>
                </c:pt>
                <c:pt idx="32">
                  <c:v>1715</c:v>
                </c:pt>
                <c:pt idx="33">
                  <c:v>1716</c:v>
                </c:pt>
                <c:pt idx="34">
                  <c:v>1717</c:v>
                </c:pt>
                <c:pt idx="35">
                  <c:v>1718</c:v>
                </c:pt>
                <c:pt idx="36">
                  <c:v>1719</c:v>
                </c:pt>
                <c:pt idx="37">
                  <c:v>1720</c:v>
                </c:pt>
                <c:pt idx="38">
                  <c:v>1721</c:v>
                </c:pt>
                <c:pt idx="39">
                  <c:v>1722</c:v>
                </c:pt>
                <c:pt idx="40">
                  <c:v>1723</c:v>
                </c:pt>
                <c:pt idx="41">
                  <c:v>1724</c:v>
                </c:pt>
                <c:pt idx="42">
                  <c:v>1725</c:v>
                </c:pt>
                <c:pt idx="43">
                  <c:v>1726</c:v>
                </c:pt>
                <c:pt idx="44">
                  <c:v>1727</c:v>
                </c:pt>
                <c:pt idx="45">
                  <c:v>1728</c:v>
                </c:pt>
                <c:pt idx="46">
                  <c:v>1729</c:v>
                </c:pt>
                <c:pt idx="47">
                  <c:v>1730</c:v>
                </c:pt>
                <c:pt idx="48">
                  <c:v>1731</c:v>
                </c:pt>
                <c:pt idx="49">
                  <c:v>1732</c:v>
                </c:pt>
                <c:pt idx="50">
                  <c:v>1733</c:v>
                </c:pt>
                <c:pt idx="51">
                  <c:v>1734</c:v>
                </c:pt>
                <c:pt idx="52">
                  <c:v>1735</c:v>
                </c:pt>
                <c:pt idx="53">
                  <c:v>1736</c:v>
                </c:pt>
                <c:pt idx="54">
                  <c:v>1737</c:v>
                </c:pt>
                <c:pt idx="55">
                  <c:v>1738</c:v>
                </c:pt>
                <c:pt idx="56">
                  <c:v>1739</c:v>
                </c:pt>
                <c:pt idx="57">
                  <c:v>1740</c:v>
                </c:pt>
                <c:pt idx="58">
                  <c:v>1741</c:v>
                </c:pt>
                <c:pt idx="59">
                  <c:v>1742</c:v>
                </c:pt>
                <c:pt idx="60">
                  <c:v>1743</c:v>
                </c:pt>
                <c:pt idx="61">
                  <c:v>1744</c:v>
                </c:pt>
                <c:pt idx="62">
                  <c:v>1745</c:v>
                </c:pt>
                <c:pt idx="63">
                  <c:v>1746</c:v>
                </c:pt>
                <c:pt idx="64">
                  <c:v>1747</c:v>
                </c:pt>
                <c:pt idx="65">
                  <c:v>1748</c:v>
                </c:pt>
                <c:pt idx="66">
                  <c:v>1749</c:v>
                </c:pt>
                <c:pt idx="67">
                  <c:v>1750</c:v>
                </c:pt>
                <c:pt idx="68">
                  <c:v>1751</c:v>
                </c:pt>
                <c:pt idx="69">
                  <c:v>1752</c:v>
                </c:pt>
                <c:pt idx="70">
                  <c:v>1753</c:v>
                </c:pt>
                <c:pt idx="71">
                  <c:v>1754</c:v>
                </c:pt>
                <c:pt idx="72">
                  <c:v>1755</c:v>
                </c:pt>
                <c:pt idx="73">
                  <c:v>1756</c:v>
                </c:pt>
                <c:pt idx="74">
                  <c:v>1757</c:v>
                </c:pt>
                <c:pt idx="75">
                  <c:v>1758</c:v>
                </c:pt>
                <c:pt idx="76">
                  <c:v>1759</c:v>
                </c:pt>
                <c:pt idx="77">
                  <c:v>1760</c:v>
                </c:pt>
                <c:pt idx="78">
                  <c:v>1761</c:v>
                </c:pt>
                <c:pt idx="79">
                  <c:v>1762</c:v>
                </c:pt>
                <c:pt idx="80">
                  <c:v>1763</c:v>
                </c:pt>
                <c:pt idx="81">
                  <c:v>1764</c:v>
                </c:pt>
                <c:pt idx="82">
                  <c:v>1765</c:v>
                </c:pt>
                <c:pt idx="83">
                  <c:v>1766</c:v>
                </c:pt>
                <c:pt idx="84">
                  <c:v>1767</c:v>
                </c:pt>
                <c:pt idx="85">
                  <c:v>1768</c:v>
                </c:pt>
                <c:pt idx="86">
                  <c:v>1769</c:v>
                </c:pt>
                <c:pt idx="87">
                  <c:v>1770</c:v>
                </c:pt>
                <c:pt idx="88">
                  <c:v>1771</c:v>
                </c:pt>
                <c:pt idx="89">
                  <c:v>1772</c:v>
                </c:pt>
                <c:pt idx="90">
                  <c:v>1773</c:v>
                </c:pt>
                <c:pt idx="91">
                  <c:v>1774</c:v>
                </c:pt>
                <c:pt idx="92">
                  <c:v>1775</c:v>
                </c:pt>
                <c:pt idx="93">
                  <c:v>1776</c:v>
                </c:pt>
                <c:pt idx="94">
                  <c:v>1777</c:v>
                </c:pt>
                <c:pt idx="95">
                  <c:v>1778</c:v>
                </c:pt>
                <c:pt idx="96">
                  <c:v>1779</c:v>
                </c:pt>
                <c:pt idx="97">
                  <c:v>1780</c:v>
                </c:pt>
                <c:pt idx="98">
                  <c:v>1781</c:v>
                </c:pt>
                <c:pt idx="99">
                  <c:v>1782</c:v>
                </c:pt>
                <c:pt idx="100">
                  <c:v>1783</c:v>
                </c:pt>
                <c:pt idx="101">
                  <c:v>1784</c:v>
                </c:pt>
                <c:pt idx="102">
                  <c:v>1785</c:v>
                </c:pt>
                <c:pt idx="103">
                  <c:v>1786</c:v>
                </c:pt>
                <c:pt idx="104">
                  <c:v>1787</c:v>
                </c:pt>
                <c:pt idx="105">
                  <c:v>1788</c:v>
                </c:pt>
                <c:pt idx="106">
                  <c:v>1789</c:v>
                </c:pt>
                <c:pt idx="107">
                  <c:v>1790</c:v>
                </c:pt>
                <c:pt idx="108">
                  <c:v>1791</c:v>
                </c:pt>
                <c:pt idx="109">
                  <c:v>1792</c:v>
                </c:pt>
                <c:pt idx="110">
                  <c:v>1793</c:v>
                </c:pt>
                <c:pt idx="111">
                  <c:v>1794</c:v>
                </c:pt>
                <c:pt idx="112">
                  <c:v>1795</c:v>
                </c:pt>
                <c:pt idx="113">
                  <c:v>1796</c:v>
                </c:pt>
                <c:pt idx="114">
                  <c:v>1797</c:v>
                </c:pt>
                <c:pt idx="115">
                  <c:v>1798</c:v>
                </c:pt>
                <c:pt idx="116">
                  <c:v>1799</c:v>
                </c:pt>
                <c:pt idx="117">
                  <c:v>1800</c:v>
                </c:pt>
                <c:pt idx="118">
                  <c:v>1801</c:v>
                </c:pt>
                <c:pt idx="119">
                  <c:v>1802</c:v>
                </c:pt>
                <c:pt idx="120">
                  <c:v>1803</c:v>
                </c:pt>
                <c:pt idx="121">
                  <c:v>1804</c:v>
                </c:pt>
                <c:pt idx="122">
                  <c:v>1805</c:v>
                </c:pt>
                <c:pt idx="123">
                  <c:v>1806</c:v>
                </c:pt>
                <c:pt idx="124">
                  <c:v>1807</c:v>
                </c:pt>
                <c:pt idx="125">
                  <c:v>1808</c:v>
                </c:pt>
                <c:pt idx="126">
                  <c:v>1809</c:v>
                </c:pt>
                <c:pt idx="127">
                  <c:v>1810</c:v>
                </c:pt>
                <c:pt idx="128">
                  <c:v>1811</c:v>
                </c:pt>
                <c:pt idx="129">
                  <c:v>1812</c:v>
                </c:pt>
                <c:pt idx="130">
                  <c:v>1813</c:v>
                </c:pt>
                <c:pt idx="131">
                  <c:v>1814</c:v>
                </c:pt>
                <c:pt idx="132">
                  <c:v>1815</c:v>
                </c:pt>
              </c:numCache>
            </c:numRef>
          </c:cat>
          <c:val>
            <c:numRef>
              <c:f>'1- Export'!$AG$9:$AG$141</c:f>
              <c:numCache>
                <c:formatCode>#,##0</c:formatCode>
                <c:ptCount val="133"/>
                <c:pt idx="40">
                  <c:v>1692.2582499999999</c:v>
                </c:pt>
                <c:pt idx="41">
                  <c:v>2848.0976449999998</c:v>
                </c:pt>
                <c:pt idx="42">
                  <c:v>22965.210844999998</c:v>
                </c:pt>
                <c:pt idx="43">
                  <c:v>70718.47338499999</c:v>
                </c:pt>
                <c:pt idx="44">
                  <c:v>102767.4441775</c:v>
                </c:pt>
                <c:pt idx="45">
                  <c:v>111240.91178249998</c:v>
                </c:pt>
                <c:pt idx="46">
                  <c:v>134876.25363749999</c:v>
                </c:pt>
                <c:pt idx="47">
                  <c:v>245250.53504999998</c:v>
                </c:pt>
                <c:pt idx="48">
                  <c:v>266513.61789999995</c:v>
                </c:pt>
                <c:pt idx="49">
                  <c:v>534666.18439249997</c:v>
                </c:pt>
                <c:pt idx="50">
                  <c:v>391093.93837749999</c:v>
                </c:pt>
                <c:pt idx="51">
                  <c:v>625110.17860749993</c:v>
                </c:pt>
                <c:pt idx="52">
                  <c:v>662477.09274749993</c:v>
                </c:pt>
                <c:pt idx="53">
                  <c:v>822726.03573</c:v>
                </c:pt>
                <c:pt idx="54">
                  <c:v>1612560.9628599999</c:v>
                </c:pt>
                <c:pt idx="55">
                  <c:v>1189986.1680049999</c:v>
                </c:pt>
                <c:pt idx="56">
                  <c:v>1578349.1624324999</c:v>
                </c:pt>
                <c:pt idx="57">
                  <c:v>2480603.9176150002</c:v>
                </c:pt>
                <c:pt idx="58">
                  <c:v>2410281.3956200001</c:v>
                </c:pt>
                <c:pt idx="59">
                  <c:v>1372062.23361</c:v>
                </c:pt>
                <c:pt idx="60">
                  <c:v>1462884.8788449999</c:v>
                </c:pt>
                <c:pt idx="61">
                  <c:v>1730589.1861675</c:v>
                </c:pt>
                <c:pt idx="62">
                  <c:v>1179884.6856624999</c:v>
                </c:pt>
                <c:pt idx="63">
                  <c:v>1266278.90484</c:v>
                </c:pt>
                <c:pt idx="64">
                  <c:v>2031813.906615</c:v>
                </c:pt>
                <c:pt idx="65">
                  <c:v>697530.96724750008</c:v>
                </c:pt>
                <c:pt idx="66">
                  <c:v>1568135.7968774999</c:v>
                </c:pt>
                <c:pt idx="67">
                  <c:v>1759563.377445</c:v>
                </c:pt>
                <c:pt idx="68">
                  <c:v>2133924.4754574997</c:v>
                </c:pt>
                <c:pt idx="69">
                  <c:v>2654991.4923999999</c:v>
                </c:pt>
                <c:pt idx="70">
                  <c:v>1423279.7611974999</c:v>
                </c:pt>
                <c:pt idx="71">
                  <c:v>2707009.139</c:v>
                </c:pt>
                <c:pt idx="72">
                  <c:v>1413836.7977149999</c:v>
                </c:pt>
                <c:pt idx="73">
                  <c:v>3307857.7384399995</c:v>
                </c:pt>
                <c:pt idx="74">
                  <c:v>4261062.9081325</c:v>
                </c:pt>
                <c:pt idx="75">
                  <c:v>3454773.2883449998</c:v>
                </c:pt>
                <c:pt idx="76">
                  <c:v>5482583.3946374999</c:v>
                </c:pt>
                <c:pt idx="77">
                  <c:v>5030671.3007525001</c:v>
                </c:pt>
                <c:pt idx="78">
                  <c:v>5369926.0165600004</c:v>
                </c:pt>
                <c:pt idx="79">
                  <c:v>6095667.9494000003</c:v>
                </c:pt>
                <c:pt idx="80">
                  <c:v>6764443.2577174995</c:v>
                </c:pt>
                <c:pt idx="81">
                  <c:v>5019236.6830199994</c:v>
                </c:pt>
                <c:pt idx="82">
                  <c:v>6757885.0629375</c:v>
                </c:pt>
                <c:pt idx="83">
                  <c:v>6278425.1462249998</c:v>
                </c:pt>
                <c:pt idx="84">
                  <c:v>6852214.4776449995</c:v>
                </c:pt>
                <c:pt idx="85">
                  <c:v>5883412.9014999997</c:v>
                </c:pt>
                <c:pt idx="86">
                  <c:v>7082660.7018374996</c:v>
                </c:pt>
                <c:pt idx="87">
                  <c:v>3810601.5217724997</c:v>
                </c:pt>
                <c:pt idx="88">
                  <c:v>6806717.5998374997</c:v>
                </c:pt>
                <c:pt idx="89">
                  <c:v>6734542.1763824997</c:v>
                </c:pt>
                <c:pt idx="90">
                  <c:v>7455140.3661499992</c:v>
                </c:pt>
                <c:pt idx="91">
                  <c:v>6488840.8290449996</c:v>
                </c:pt>
                <c:pt idx="92">
                  <c:v>9182392.9996875003</c:v>
                </c:pt>
                <c:pt idx="93">
                  <c:v>6644500.5146500003</c:v>
                </c:pt>
                <c:pt idx="94">
                  <c:v>9130726.3956400007</c:v>
                </c:pt>
                <c:pt idx="95">
                  <c:v>7506293.4679949991</c:v>
                </c:pt>
                <c:pt idx="96">
                  <c:v>5896395.8287649993</c:v>
                </c:pt>
                <c:pt idx="97">
                  <c:v>5678965.4824649999</c:v>
                </c:pt>
                <c:pt idx="98">
                  <c:v>2962777.6496524997</c:v>
                </c:pt>
                <c:pt idx="99">
                  <c:v>4849453.4888399998</c:v>
                </c:pt>
                <c:pt idx="100">
                  <c:v>6018525.2072949996</c:v>
                </c:pt>
                <c:pt idx="101">
                  <c:v>7288130.7081025001</c:v>
                </c:pt>
                <c:pt idx="102">
                  <c:v>3921052.3698274996</c:v>
                </c:pt>
                <c:pt idx="103">
                  <c:v>6307407.0533099994</c:v>
                </c:pt>
                <c:pt idx="104">
                  <c:v>5404771.9081774997</c:v>
                </c:pt>
                <c:pt idx="105">
                  <c:v>3427909.4601599998</c:v>
                </c:pt>
                <c:pt idx="106">
                  <c:v>5538944.4155999999</c:v>
                </c:pt>
                <c:pt idx="107">
                  <c:v>7362851.3798333332</c:v>
                </c:pt>
                <c:pt idx="108">
                  <c:v>6609483.1795450002</c:v>
                </c:pt>
                <c:pt idx="109">
                  <c:v>3847357.2010899996</c:v>
                </c:pt>
                <c:pt idx="110">
                  <c:v>162538.04811500001</c:v>
                </c:pt>
                <c:pt idx="111">
                  <c:v>5549408.4024700001</c:v>
                </c:pt>
                <c:pt idx="116">
                  <c:v>3114472</c:v>
                </c:pt>
                <c:pt idx="121">
                  <c:v>3789864</c:v>
                </c:pt>
                <c:pt idx="122">
                  <c:v>3050755</c:v>
                </c:pt>
                <c:pt idx="123">
                  <c:v>5072097</c:v>
                </c:pt>
                <c:pt idx="124">
                  <c:v>2462353</c:v>
                </c:pt>
                <c:pt idx="125">
                  <c:v>3780819</c:v>
                </c:pt>
                <c:pt idx="126">
                  <c:v>1909036</c:v>
                </c:pt>
                <c:pt idx="127">
                  <c:v>3290123</c:v>
                </c:pt>
                <c:pt idx="128">
                  <c:v>3678094</c:v>
                </c:pt>
                <c:pt idx="129">
                  <c:v>2180535</c:v>
                </c:pt>
                <c:pt idx="131">
                  <c:v>2213914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90592"/>
        <c:axId val="174192128"/>
      </c:lineChart>
      <c:catAx>
        <c:axId val="17419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192128"/>
        <c:crosses val="autoZero"/>
        <c:auto val="1"/>
        <c:lblAlgn val="ctr"/>
        <c:lblOffset val="100"/>
        <c:noMultiLvlLbl val="0"/>
      </c:catAx>
      <c:valAx>
        <c:axId val="1741921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4190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153170172479834"/>
          <c:y val="3.3334606899522876E-2"/>
          <c:w val="0.13716627350258373"/>
          <c:h val="7.5640938653414549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99261573636623E-2"/>
          <c:y val="2.3220954291929038E-2"/>
          <c:w val="0.93745361977894082"/>
          <c:h val="0.89195640846429669"/>
        </c:manualLayout>
      </c:layout>
      <c:lineChart>
        <c:grouping val="standard"/>
        <c:varyColors val="0"/>
        <c:ser>
          <c:idx val="2"/>
          <c:order val="0"/>
          <c:tx>
            <c:v>Suikerprijs gemiddeld per jaar</c:v>
          </c:tx>
          <c:marker>
            <c:symbol val="none"/>
          </c:marker>
          <c:cat>
            <c:numRef>
              <c:f>'2- Prijzen'!$A$9:$A$120</c:f>
              <c:numCache>
                <c:formatCode>General</c:formatCode>
                <c:ptCount val="112"/>
                <c:pt idx="0">
                  <c:v>1683</c:v>
                </c:pt>
                <c:pt idx="1">
                  <c:v>1684</c:v>
                </c:pt>
                <c:pt idx="2">
                  <c:v>1685</c:v>
                </c:pt>
                <c:pt idx="3">
                  <c:v>1686</c:v>
                </c:pt>
                <c:pt idx="4">
                  <c:v>1687</c:v>
                </c:pt>
                <c:pt idx="5">
                  <c:v>1688</c:v>
                </c:pt>
                <c:pt idx="6">
                  <c:v>1689</c:v>
                </c:pt>
                <c:pt idx="7">
                  <c:v>1690</c:v>
                </c:pt>
                <c:pt idx="8">
                  <c:v>1691</c:v>
                </c:pt>
                <c:pt idx="9">
                  <c:v>1692</c:v>
                </c:pt>
                <c:pt idx="10">
                  <c:v>1693</c:v>
                </c:pt>
                <c:pt idx="11">
                  <c:v>1694</c:v>
                </c:pt>
                <c:pt idx="12">
                  <c:v>1695</c:v>
                </c:pt>
                <c:pt idx="13">
                  <c:v>1696</c:v>
                </c:pt>
                <c:pt idx="14">
                  <c:v>1697</c:v>
                </c:pt>
                <c:pt idx="15">
                  <c:v>1698</c:v>
                </c:pt>
                <c:pt idx="16">
                  <c:v>1699</c:v>
                </c:pt>
                <c:pt idx="17">
                  <c:v>1700</c:v>
                </c:pt>
                <c:pt idx="18">
                  <c:v>1701</c:v>
                </c:pt>
                <c:pt idx="19">
                  <c:v>1702</c:v>
                </c:pt>
                <c:pt idx="20">
                  <c:v>1703</c:v>
                </c:pt>
                <c:pt idx="21">
                  <c:v>1704</c:v>
                </c:pt>
                <c:pt idx="22">
                  <c:v>1705</c:v>
                </c:pt>
                <c:pt idx="23">
                  <c:v>1706</c:v>
                </c:pt>
                <c:pt idx="24">
                  <c:v>1707</c:v>
                </c:pt>
                <c:pt idx="25">
                  <c:v>1708</c:v>
                </c:pt>
                <c:pt idx="26">
                  <c:v>1709</c:v>
                </c:pt>
                <c:pt idx="27">
                  <c:v>1710</c:v>
                </c:pt>
                <c:pt idx="28">
                  <c:v>1711</c:v>
                </c:pt>
                <c:pt idx="29">
                  <c:v>1712</c:v>
                </c:pt>
                <c:pt idx="30">
                  <c:v>1713</c:v>
                </c:pt>
                <c:pt idx="31">
                  <c:v>1714</c:v>
                </c:pt>
                <c:pt idx="32">
                  <c:v>1715</c:v>
                </c:pt>
                <c:pt idx="33">
                  <c:v>1716</c:v>
                </c:pt>
                <c:pt idx="34">
                  <c:v>1717</c:v>
                </c:pt>
                <c:pt idx="35">
                  <c:v>1718</c:v>
                </c:pt>
                <c:pt idx="36">
                  <c:v>1719</c:v>
                </c:pt>
                <c:pt idx="37">
                  <c:v>1720</c:v>
                </c:pt>
                <c:pt idx="38">
                  <c:v>1721</c:v>
                </c:pt>
                <c:pt idx="39">
                  <c:v>1722</c:v>
                </c:pt>
                <c:pt idx="40">
                  <c:v>1723</c:v>
                </c:pt>
                <c:pt idx="41">
                  <c:v>1724</c:v>
                </c:pt>
                <c:pt idx="42">
                  <c:v>1725</c:v>
                </c:pt>
                <c:pt idx="43">
                  <c:v>1726</c:v>
                </c:pt>
                <c:pt idx="44">
                  <c:v>1727</c:v>
                </c:pt>
                <c:pt idx="45">
                  <c:v>1728</c:v>
                </c:pt>
                <c:pt idx="46">
                  <c:v>1729</c:v>
                </c:pt>
                <c:pt idx="47">
                  <c:v>1730</c:v>
                </c:pt>
                <c:pt idx="48">
                  <c:v>1731</c:v>
                </c:pt>
                <c:pt idx="49">
                  <c:v>1732</c:v>
                </c:pt>
                <c:pt idx="50">
                  <c:v>1733</c:v>
                </c:pt>
                <c:pt idx="51">
                  <c:v>1734</c:v>
                </c:pt>
                <c:pt idx="52">
                  <c:v>1735</c:v>
                </c:pt>
                <c:pt idx="53">
                  <c:v>1736</c:v>
                </c:pt>
                <c:pt idx="54">
                  <c:v>1737</c:v>
                </c:pt>
                <c:pt idx="55">
                  <c:v>1738</c:v>
                </c:pt>
                <c:pt idx="56">
                  <c:v>1739</c:v>
                </c:pt>
                <c:pt idx="57">
                  <c:v>1740</c:v>
                </c:pt>
                <c:pt idx="58">
                  <c:v>1741</c:v>
                </c:pt>
                <c:pt idx="59">
                  <c:v>1742</c:v>
                </c:pt>
                <c:pt idx="60">
                  <c:v>1743</c:v>
                </c:pt>
                <c:pt idx="61">
                  <c:v>1744</c:v>
                </c:pt>
                <c:pt idx="62">
                  <c:v>1745</c:v>
                </c:pt>
                <c:pt idx="63">
                  <c:v>1746</c:v>
                </c:pt>
                <c:pt idx="64">
                  <c:v>1747</c:v>
                </c:pt>
                <c:pt idx="65">
                  <c:v>1748</c:v>
                </c:pt>
                <c:pt idx="66">
                  <c:v>1749</c:v>
                </c:pt>
                <c:pt idx="67">
                  <c:v>1750</c:v>
                </c:pt>
                <c:pt idx="68">
                  <c:v>1751</c:v>
                </c:pt>
                <c:pt idx="69">
                  <c:v>1752</c:v>
                </c:pt>
                <c:pt idx="70">
                  <c:v>1753</c:v>
                </c:pt>
                <c:pt idx="71">
                  <c:v>1754</c:v>
                </c:pt>
                <c:pt idx="72">
                  <c:v>1755</c:v>
                </c:pt>
                <c:pt idx="73">
                  <c:v>1756</c:v>
                </c:pt>
                <c:pt idx="74">
                  <c:v>1757</c:v>
                </c:pt>
                <c:pt idx="75">
                  <c:v>1758</c:v>
                </c:pt>
                <c:pt idx="76">
                  <c:v>1759</c:v>
                </c:pt>
                <c:pt idx="77">
                  <c:v>1760</c:v>
                </c:pt>
                <c:pt idx="78">
                  <c:v>1761</c:v>
                </c:pt>
                <c:pt idx="79">
                  <c:v>1762</c:v>
                </c:pt>
                <c:pt idx="80">
                  <c:v>1763</c:v>
                </c:pt>
                <c:pt idx="81">
                  <c:v>1764</c:v>
                </c:pt>
                <c:pt idx="82">
                  <c:v>1765</c:v>
                </c:pt>
                <c:pt idx="83">
                  <c:v>1766</c:v>
                </c:pt>
                <c:pt idx="84">
                  <c:v>1767</c:v>
                </c:pt>
                <c:pt idx="85">
                  <c:v>1768</c:v>
                </c:pt>
                <c:pt idx="86">
                  <c:v>1769</c:v>
                </c:pt>
                <c:pt idx="87">
                  <c:v>1770</c:v>
                </c:pt>
                <c:pt idx="88">
                  <c:v>1771</c:v>
                </c:pt>
                <c:pt idx="89">
                  <c:v>1772</c:v>
                </c:pt>
                <c:pt idx="90">
                  <c:v>1773</c:v>
                </c:pt>
                <c:pt idx="91">
                  <c:v>1774</c:v>
                </c:pt>
                <c:pt idx="92">
                  <c:v>1775</c:v>
                </c:pt>
                <c:pt idx="93">
                  <c:v>1776</c:v>
                </c:pt>
                <c:pt idx="94">
                  <c:v>1777</c:v>
                </c:pt>
                <c:pt idx="95">
                  <c:v>1778</c:v>
                </c:pt>
                <c:pt idx="96">
                  <c:v>1779</c:v>
                </c:pt>
                <c:pt idx="97">
                  <c:v>1780</c:v>
                </c:pt>
                <c:pt idx="98">
                  <c:v>1781</c:v>
                </c:pt>
                <c:pt idx="99">
                  <c:v>1782</c:v>
                </c:pt>
                <c:pt idx="100">
                  <c:v>1783</c:v>
                </c:pt>
                <c:pt idx="101">
                  <c:v>1784</c:v>
                </c:pt>
                <c:pt idx="102">
                  <c:v>1785</c:v>
                </c:pt>
                <c:pt idx="103">
                  <c:v>1786</c:v>
                </c:pt>
                <c:pt idx="104">
                  <c:v>1787</c:v>
                </c:pt>
                <c:pt idx="105">
                  <c:v>1788</c:v>
                </c:pt>
                <c:pt idx="106">
                  <c:v>1789</c:v>
                </c:pt>
                <c:pt idx="107">
                  <c:v>1790</c:v>
                </c:pt>
                <c:pt idx="108">
                  <c:v>1791</c:v>
                </c:pt>
                <c:pt idx="109">
                  <c:v>1792</c:v>
                </c:pt>
                <c:pt idx="110">
                  <c:v>1793</c:v>
                </c:pt>
                <c:pt idx="111">
                  <c:v>1794</c:v>
                </c:pt>
              </c:numCache>
            </c:numRef>
          </c:cat>
          <c:val>
            <c:numRef>
              <c:f>'2- Prijzen'!$U$9:$U$120</c:f>
              <c:numCache>
                <c:formatCode>General</c:formatCode>
                <c:ptCount val="112"/>
                <c:pt idx="0">
                  <c:v>0.28334918739500903</c:v>
                </c:pt>
                <c:pt idx="1">
                  <c:v>0.28334918739500903</c:v>
                </c:pt>
                <c:pt idx="2">
                  <c:v>0.28334918739500903</c:v>
                </c:pt>
                <c:pt idx="3">
                  <c:v>0.28334918739500903</c:v>
                </c:pt>
                <c:pt idx="4">
                  <c:v>0.28334918739500903</c:v>
                </c:pt>
                <c:pt idx="5">
                  <c:v>0.28334918739500903</c:v>
                </c:pt>
                <c:pt idx="6">
                  <c:v>0.28334918739500903</c:v>
                </c:pt>
                <c:pt idx="7">
                  <c:v>0.34406687040822526</c:v>
                </c:pt>
                <c:pt idx="8">
                  <c:v>0.34406687040822526</c:v>
                </c:pt>
                <c:pt idx="9">
                  <c:v>0.34406687040822526</c:v>
                </c:pt>
                <c:pt idx="10">
                  <c:v>0.34406687040822526</c:v>
                </c:pt>
                <c:pt idx="11">
                  <c:v>0.34406687040822526</c:v>
                </c:pt>
                <c:pt idx="12">
                  <c:v>0.34406687040822526</c:v>
                </c:pt>
                <c:pt idx="13">
                  <c:v>0.34406687040822526</c:v>
                </c:pt>
                <c:pt idx="14">
                  <c:v>0.34406687040822526</c:v>
                </c:pt>
                <c:pt idx="15">
                  <c:v>0.34406687040822526</c:v>
                </c:pt>
                <c:pt idx="16">
                  <c:v>0.34406687040822526</c:v>
                </c:pt>
                <c:pt idx="17">
                  <c:v>0.38454532575036937</c:v>
                </c:pt>
                <c:pt idx="18">
                  <c:v>0.38454532575036937</c:v>
                </c:pt>
                <c:pt idx="19">
                  <c:v>0.38454532575036937</c:v>
                </c:pt>
                <c:pt idx="20">
                  <c:v>0.38454532575036937</c:v>
                </c:pt>
                <c:pt idx="21">
                  <c:v>0.38454532575036937</c:v>
                </c:pt>
                <c:pt idx="22">
                  <c:v>0.38454532575036937</c:v>
                </c:pt>
                <c:pt idx="23">
                  <c:v>0.38454532575036937</c:v>
                </c:pt>
                <c:pt idx="24">
                  <c:v>0.38454532575036937</c:v>
                </c:pt>
                <c:pt idx="25">
                  <c:v>0.38454532575036937</c:v>
                </c:pt>
                <c:pt idx="26">
                  <c:v>0.38454532575036937</c:v>
                </c:pt>
                <c:pt idx="27">
                  <c:v>0.3238276427371532</c:v>
                </c:pt>
                <c:pt idx="28">
                  <c:v>0.3238276427371532</c:v>
                </c:pt>
                <c:pt idx="29">
                  <c:v>0.3238276427371532</c:v>
                </c:pt>
                <c:pt idx="30">
                  <c:v>0.3238276427371532</c:v>
                </c:pt>
                <c:pt idx="31">
                  <c:v>0.3238276427371532</c:v>
                </c:pt>
                <c:pt idx="32">
                  <c:v>0.3238276427371532</c:v>
                </c:pt>
                <c:pt idx="33">
                  <c:v>0.3238276427371532</c:v>
                </c:pt>
                <c:pt idx="34">
                  <c:v>0.3238276427371532</c:v>
                </c:pt>
                <c:pt idx="35">
                  <c:v>0.3238276427371532</c:v>
                </c:pt>
                <c:pt idx="36">
                  <c:v>0.3238276427371532</c:v>
                </c:pt>
                <c:pt idx="37">
                  <c:v>0.28334918739500903</c:v>
                </c:pt>
                <c:pt idx="38">
                  <c:v>0.28334918739500903</c:v>
                </c:pt>
                <c:pt idx="39">
                  <c:v>0.28334918739500903</c:v>
                </c:pt>
                <c:pt idx="40">
                  <c:v>0.28334918739500903</c:v>
                </c:pt>
                <c:pt idx="41">
                  <c:v>0.28334918739500903</c:v>
                </c:pt>
                <c:pt idx="42">
                  <c:v>0.28334918739500903</c:v>
                </c:pt>
                <c:pt idx="43">
                  <c:v>0.28334918739500903</c:v>
                </c:pt>
                <c:pt idx="44">
                  <c:v>0.28334918739500903</c:v>
                </c:pt>
                <c:pt idx="45">
                  <c:v>0.28334918739500903</c:v>
                </c:pt>
                <c:pt idx="46">
                  <c:v>0.28334918739500903</c:v>
                </c:pt>
                <c:pt idx="47">
                  <c:v>0.2226315043817928</c:v>
                </c:pt>
                <c:pt idx="48">
                  <c:v>0.2226315043817928</c:v>
                </c:pt>
                <c:pt idx="49">
                  <c:v>0.2226315043817928</c:v>
                </c:pt>
                <c:pt idx="50">
                  <c:v>0.2226315043817928</c:v>
                </c:pt>
                <c:pt idx="51">
                  <c:v>0.2226315043817928</c:v>
                </c:pt>
                <c:pt idx="52">
                  <c:v>0.2226315043817928</c:v>
                </c:pt>
                <c:pt idx="53">
                  <c:v>0.2226315043817928</c:v>
                </c:pt>
                <c:pt idx="54">
                  <c:v>0.2226315043817928</c:v>
                </c:pt>
                <c:pt idx="55">
                  <c:v>0.2226315043817928</c:v>
                </c:pt>
                <c:pt idx="56">
                  <c:v>0.2226315043817928</c:v>
                </c:pt>
                <c:pt idx="57">
                  <c:v>0.36430609807929731</c:v>
                </c:pt>
                <c:pt idx="58">
                  <c:v>0.34215304903964866</c:v>
                </c:pt>
                <c:pt idx="59">
                  <c:v>0.3221530490396487</c:v>
                </c:pt>
                <c:pt idx="60">
                  <c:v>0.35215304903964867</c:v>
                </c:pt>
                <c:pt idx="61">
                  <c:v>0.36215304903964862</c:v>
                </c:pt>
                <c:pt idx="62">
                  <c:v>0.37215304903964863</c:v>
                </c:pt>
                <c:pt idx="63">
                  <c:v>0.39215304903964865</c:v>
                </c:pt>
                <c:pt idx="64">
                  <c:v>0.39215304903964865</c:v>
                </c:pt>
                <c:pt idx="65">
                  <c:v>0.36215304903964862</c:v>
                </c:pt>
                <c:pt idx="66">
                  <c:v>0.36430609807929731</c:v>
                </c:pt>
                <c:pt idx="67">
                  <c:v>0.27191382136857661</c:v>
                </c:pt>
                <c:pt idx="68">
                  <c:v>0.28191382136857657</c:v>
                </c:pt>
                <c:pt idx="69">
                  <c:v>0.28191382136857657</c:v>
                </c:pt>
                <c:pt idx="70">
                  <c:v>0.29191382136857658</c:v>
                </c:pt>
                <c:pt idx="71">
                  <c:v>0.30191382136857658</c:v>
                </c:pt>
                <c:pt idx="72">
                  <c:v>0.37191382136857659</c:v>
                </c:pt>
                <c:pt idx="73">
                  <c:v>0.37191382136857659</c:v>
                </c:pt>
                <c:pt idx="74">
                  <c:v>0.36191382136857664</c:v>
                </c:pt>
                <c:pt idx="75">
                  <c:v>0.39191382136857661</c:v>
                </c:pt>
                <c:pt idx="76">
                  <c:v>0.3238276427371532</c:v>
                </c:pt>
                <c:pt idx="77">
                  <c:v>0.35203343520411262</c:v>
                </c:pt>
                <c:pt idx="78">
                  <c:v>0.37203343520411264</c:v>
                </c:pt>
                <c:pt idx="79">
                  <c:v>0.38203343520411259</c:v>
                </c:pt>
                <c:pt idx="80">
                  <c:v>0.35203343520411262</c:v>
                </c:pt>
                <c:pt idx="81">
                  <c:v>0.32203343520411265</c:v>
                </c:pt>
                <c:pt idx="82">
                  <c:v>0.32203343520411265</c:v>
                </c:pt>
                <c:pt idx="83">
                  <c:v>0.30203343520411263</c:v>
                </c:pt>
                <c:pt idx="84">
                  <c:v>0.32203343520411265</c:v>
                </c:pt>
                <c:pt idx="85">
                  <c:v>0.33203343520411266</c:v>
                </c:pt>
                <c:pt idx="86">
                  <c:v>0.32203343520411265</c:v>
                </c:pt>
                <c:pt idx="87">
                  <c:v>0.34215304903964866</c:v>
                </c:pt>
                <c:pt idx="88">
                  <c:v>0.35215304903964867</c:v>
                </c:pt>
                <c:pt idx="89">
                  <c:v>0.33215304903964865</c:v>
                </c:pt>
                <c:pt idx="90">
                  <c:v>0.33215304903964865</c:v>
                </c:pt>
                <c:pt idx="91">
                  <c:v>0.34215304903964866</c:v>
                </c:pt>
                <c:pt idx="92">
                  <c:v>0.34215304903964866</c:v>
                </c:pt>
                <c:pt idx="93">
                  <c:v>0.34215304903964866</c:v>
                </c:pt>
                <c:pt idx="94">
                  <c:v>0.38215304903964864</c:v>
                </c:pt>
                <c:pt idx="95">
                  <c:v>0.44215304903964869</c:v>
                </c:pt>
                <c:pt idx="96">
                  <c:v>0.4521530490396487</c:v>
                </c:pt>
                <c:pt idx="97">
                  <c:v>0.47239227671072076</c:v>
                </c:pt>
                <c:pt idx="98">
                  <c:v>0.49239227671072072</c:v>
                </c:pt>
                <c:pt idx="99">
                  <c:v>0.40478455342144148</c:v>
                </c:pt>
                <c:pt idx="100">
                  <c:v>0.35239227671072071</c:v>
                </c:pt>
                <c:pt idx="101">
                  <c:v>0.36239227671072072</c:v>
                </c:pt>
                <c:pt idx="102">
                  <c:v>0.37239227671072073</c:v>
                </c:pt>
                <c:pt idx="103">
                  <c:v>0.36239227671072072</c:v>
                </c:pt>
                <c:pt idx="104">
                  <c:v>0.40239227671072075</c:v>
                </c:pt>
                <c:pt idx="105">
                  <c:v>0.41239227671072076</c:v>
                </c:pt>
                <c:pt idx="106">
                  <c:v>0.42239227671072077</c:v>
                </c:pt>
                <c:pt idx="107">
                  <c:v>0.54370802890161718</c:v>
                </c:pt>
                <c:pt idx="108">
                  <c:v>0.58370802890161722</c:v>
                </c:pt>
                <c:pt idx="109">
                  <c:v>0.67370802890161707</c:v>
                </c:pt>
                <c:pt idx="110">
                  <c:v>0.67370802890161707</c:v>
                </c:pt>
                <c:pt idx="111">
                  <c:v>0.66370802890161706</c:v>
                </c:pt>
              </c:numCache>
            </c:numRef>
          </c:val>
          <c:smooth val="0"/>
        </c:ser>
        <c:ser>
          <c:idx val="5"/>
          <c:order val="1"/>
          <c:tx>
            <c:v>Suikerprijs Postma</c:v>
          </c:tx>
          <c:marker>
            <c:symbol val="none"/>
          </c:marker>
          <c:cat>
            <c:numRef>
              <c:f>'2- Prijzen'!$A$9:$A$120</c:f>
              <c:numCache>
                <c:formatCode>General</c:formatCode>
                <c:ptCount val="112"/>
                <c:pt idx="0">
                  <c:v>1683</c:v>
                </c:pt>
                <c:pt idx="1">
                  <c:v>1684</c:v>
                </c:pt>
                <c:pt idx="2">
                  <c:v>1685</c:v>
                </c:pt>
                <c:pt idx="3">
                  <c:v>1686</c:v>
                </c:pt>
                <c:pt idx="4">
                  <c:v>1687</c:v>
                </c:pt>
                <c:pt idx="5">
                  <c:v>1688</c:v>
                </c:pt>
                <c:pt idx="6">
                  <c:v>1689</c:v>
                </c:pt>
                <c:pt idx="7">
                  <c:v>1690</c:v>
                </c:pt>
                <c:pt idx="8">
                  <c:v>1691</c:v>
                </c:pt>
                <c:pt idx="9">
                  <c:v>1692</c:v>
                </c:pt>
                <c:pt idx="10">
                  <c:v>1693</c:v>
                </c:pt>
                <c:pt idx="11">
                  <c:v>1694</c:v>
                </c:pt>
                <c:pt idx="12">
                  <c:v>1695</c:v>
                </c:pt>
                <c:pt idx="13">
                  <c:v>1696</c:v>
                </c:pt>
                <c:pt idx="14">
                  <c:v>1697</c:v>
                </c:pt>
                <c:pt idx="15">
                  <c:v>1698</c:v>
                </c:pt>
                <c:pt idx="16">
                  <c:v>1699</c:v>
                </c:pt>
                <c:pt idx="17">
                  <c:v>1700</c:v>
                </c:pt>
                <c:pt idx="18">
                  <c:v>1701</c:v>
                </c:pt>
                <c:pt idx="19">
                  <c:v>1702</c:v>
                </c:pt>
                <c:pt idx="20">
                  <c:v>1703</c:v>
                </c:pt>
                <c:pt idx="21">
                  <c:v>1704</c:v>
                </c:pt>
                <c:pt idx="22">
                  <c:v>1705</c:v>
                </c:pt>
                <c:pt idx="23">
                  <c:v>1706</c:v>
                </c:pt>
                <c:pt idx="24">
                  <c:v>1707</c:v>
                </c:pt>
                <c:pt idx="25">
                  <c:v>1708</c:v>
                </c:pt>
                <c:pt idx="26">
                  <c:v>1709</c:v>
                </c:pt>
                <c:pt idx="27">
                  <c:v>1710</c:v>
                </c:pt>
                <c:pt idx="28">
                  <c:v>1711</c:v>
                </c:pt>
                <c:pt idx="29">
                  <c:v>1712</c:v>
                </c:pt>
                <c:pt idx="30">
                  <c:v>1713</c:v>
                </c:pt>
                <c:pt idx="31">
                  <c:v>1714</c:v>
                </c:pt>
                <c:pt idx="32">
                  <c:v>1715</c:v>
                </c:pt>
                <c:pt idx="33">
                  <c:v>1716</c:v>
                </c:pt>
                <c:pt idx="34">
                  <c:v>1717</c:v>
                </c:pt>
                <c:pt idx="35">
                  <c:v>1718</c:v>
                </c:pt>
                <c:pt idx="36">
                  <c:v>1719</c:v>
                </c:pt>
                <c:pt idx="37">
                  <c:v>1720</c:v>
                </c:pt>
                <c:pt idx="38">
                  <c:v>1721</c:v>
                </c:pt>
                <c:pt idx="39">
                  <c:v>1722</c:v>
                </c:pt>
                <c:pt idx="40">
                  <c:v>1723</c:v>
                </c:pt>
                <c:pt idx="41">
                  <c:v>1724</c:v>
                </c:pt>
                <c:pt idx="42">
                  <c:v>1725</c:v>
                </c:pt>
                <c:pt idx="43">
                  <c:v>1726</c:v>
                </c:pt>
                <c:pt idx="44">
                  <c:v>1727</c:v>
                </c:pt>
                <c:pt idx="45">
                  <c:v>1728</c:v>
                </c:pt>
                <c:pt idx="46">
                  <c:v>1729</c:v>
                </c:pt>
                <c:pt idx="47">
                  <c:v>1730</c:v>
                </c:pt>
                <c:pt idx="48">
                  <c:v>1731</c:v>
                </c:pt>
                <c:pt idx="49">
                  <c:v>1732</c:v>
                </c:pt>
                <c:pt idx="50">
                  <c:v>1733</c:v>
                </c:pt>
                <c:pt idx="51">
                  <c:v>1734</c:v>
                </c:pt>
                <c:pt idx="52">
                  <c:v>1735</c:v>
                </c:pt>
                <c:pt idx="53">
                  <c:v>1736</c:v>
                </c:pt>
                <c:pt idx="54">
                  <c:v>1737</c:v>
                </c:pt>
                <c:pt idx="55">
                  <c:v>1738</c:v>
                </c:pt>
                <c:pt idx="56">
                  <c:v>1739</c:v>
                </c:pt>
                <c:pt idx="57">
                  <c:v>1740</c:v>
                </c:pt>
                <c:pt idx="58">
                  <c:v>1741</c:v>
                </c:pt>
                <c:pt idx="59">
                  <c:v>1742</c:v>
                </c:pt>
                <c:pt idx="60">
                  <c:v>1743</c:v>
                </c:pt>
                <c:pt idx="61">
                  <c:v>1744</c:v>
                </c:pt>
                <c:pt idx="62">
                  <c:v>1745</c:v>
                </c:pt>
                <c:pt idx="63">
                  <c:v>1746</c:v>
                </c:pt>
                <c:pt idx="64">
                  <c:v>1747</c:v>
                </c:pt>
                <c:pt idx="65">
                  <c:v>1748</c:v>
                </c:pt>
                <c:pt idx="66">
                  <c:v>1749</c:v>
                </c:pt>
                <c:pt idx="67">
                  <c:v>1750</c:v>
                </c:pt>
                <c:pt idx="68">
                  <c:v>1751</c:v>
                </c:pt>
                <c:pt idx="69">
                  <c:v>1752</c:v>
                </c:pt>
                <c:pt idx="70">
                  <c:v>1753</c:v>
                </c:pt>
                <c:pt idx="71">
                  <c:v>1754</c:v>
                </c:pt>
                <c:pt idx="72">
                  <c:v>1755</c:v>
                </c:pt>
                <c:pt idx="73">
                  <c:v>1756</c:v>
                </c:pt>
                <c:pt idx="74">
                  <c:v>1757</c:v>
                </c:pt>
                <c:pt idx="75">
                  <c:v>1758</c:v>
                </c:pt>
                <c:pt idx="76">
                  <c:v>1759</c:v>
                </c:pt>
                <c:pt idx="77">
                  <c:v>1760</c:v>
                </c:pt>
                <c:pt idx="78">
                  <c:v>1761</c:v>
                </c:pt>
                <c:pt idx="79">
                  <c:v>1762</c:v>
                </c:pt>
                <c:pt idx="80">
                  <c:v>1763</c:v>
                </c:pt>
                <c:pt idx="81">
                  <c:v>1764</c:v>
                </c:pt>
                <c:pt idx="82">
                  <c:v>1765</c:v>
                </c:pt>
                <c:pt idx="83">
                  <c:v>1766</c:v>
                </c:pt>
                <c:pt idx="84">
                  <c:v>1767</c:v>
                </c:pt>
                <c:pt idx="85">
                  <c:v>1768</c:v>
                </c:pt>
                <c:pt idx="86">
                  <c:v>1769</c:v>
                </c:pt>
                <c:pt idx="87">
                  <c:v>1770</c:v>
                </c:pt>
                <c:pt idx="88">
                  <c:v>1771</c:v>
                </c:pt>
                <c:pt idx="89">
                  <c:v>1772</c:v>
                </c:pt>
                <c:pt idx="90">
                  <c:v>1773</c:v>
                </c:pt>
                <c:pt idx="91">
                  <c:v>1774</c:v>
                </c:pt>
                <c:pt idx="92">
                  <c:v>1775</c:v>
                </c:pt>
                <c:pt idx="93">
                  <c:v>1776</c:v>
                </c:pt>
                <c:pt idx="94">
                  <c:v>1777</c:v>
                </c:pt>
                <c:pt idx="95">
                  <c:v>1778</c:v>
                </c:pt>
                <c:pt idx="96">
                  <c:v>1779</c:v>
                </c:pt>
                <c:pt idx="97">
                  <c:v>1780</c:v>
                </c:pt>
                <c:pt idx="98">
                  <c:v>1781</c:v>
                </c:pt>
                <c:pt idx="99">
                  <c:v>1782</c:v>
                </c:pt>
                <c:pt idx="100">
                  <c:v>1783</c:v>
                </c:pt>
                <c:pt idx="101">
                  <c:v>1784</c:v>
                </c:pt>
                <c:pt idx="102">
                  <c:v>1785</c:v>
                </c:pt>
                <c:pt idx="103">
                  <c:v>1786</c:v>
                </c:pt>
                <c:pt idx="104">
                  <c:v>1787</c:v>
                </c:pt>
                <c:pt idx="105">
                  <c:v>1788</c:v>
                </c:pt>
                <c:pt idx="106">
                  <c:v>1789</c:v>
                </c:pt>
                <c:pt idx="107">
                  <c:v>1790</c:v>
                </c:pt>
                <c:pt idx="108">
                  <c:v>1791</c:v>
                </c:pt>
                <c:pt idx="109">
                  <c:v>1792</c:v>
                </c:pt>
                <c:pt idx="110">
                  <c:v>1793</c:v>
                </c:pt>
                <c:pt idx="111">
                  <c:v>1794</c:v>
                </c:pt>
              </c:numCache>
            </c:numRef>
          </c:cat>
          <c:val>
            <c:numRef>
              <c:f>'2- Prijzen'!$N$9:$N$120</c:f>
              <c:numCache>
                <c:formatCode>General</c:formatCode>
                <c:ptCount val="112"/>
                <c:pt idx="0">
                  <c:v>0.28334918739500903</c:v>
                </c:pt>
                <c:pt idx="1">
                  <c:v>0.28334918739500903</c:v>
                </c:pt>
                <c:pt idx="2">
                  <c:v>0.28334918739500903</c:v>
                </c:pt>
                <c:pt idx="3">
                  <c:v>0.28334918739500903</c:v>
                </c:pt>
                <c:pt idx="4">
                  <c:v>0.28334918739500903</c:v>
                </c:pt>
                <c:pt idx="5">
                  <c:v>0.28334918739500903</c:v>
                </c:pt>
                <c:pt idx="6">
                  <c:v>0.28334918739500903</c:v>
                </c:pt>
                <c:pt idx="7">
                  <c:v>0.34406687040822526</c:v>
                </c:pt>
                <c:pt idx="8">
                  <c:v>0.34406687040822526</c:v>
                </c:pt>
                <c:pt idx="9">
                  <c:v>0.34406687040822526</c:v>
                </c:pt>
                <c:pt idx="10">
                  <c:v>0.34406687040822526</c:v>
                </c:pt>
                <c:pt idx="11">
                  <c:v>0.34406687040822526</c:v>
                </c:pt>
                <c:pt idx="12">
                  <c:v>0.34406687040822526</c:v>
                </c:pt>
                <c:pt idx="13">
                  <c:v>0.34406687040822526</c:v>
                </c:pt>
                <c:pt idx="14">
                  <c:v>0.34406687040822526</c:v>
                </c:pt>
                <c:pt idx="15">
                  <c:v>0.34406687040822526</c:v>
                </c:pt>
                <c:pt idx="16">
                  <c:v>0.34406687040822526</c:v>
                </c:pt>
                <c:pt idx="17">
                  <c:v>0.38454532575036937</c:v>
                </c:pt>
                <c:pt idx="18">
                  <c:v>0.38454532575036937</c:v>
                </c:pt>
                <c:pt idx="19">
                  <c:v>0.38454532575036937</c:v>
                </c:pt>
                <c:pt idx="20">
                  <c:v>0.38454532575036937</c:v>
                </c:pt>
                <c:pt idx="21">
                  <c:v>0.38454532575036937</c:v>
                </c:pt>
                <c:pt idx="22">
                  <c:v>0.38454532575036937</c:v>
                </c:pt>
                <c:pt idx="23">
                  <c:v>0.38454532575036937</c:v>
                </c:pt>
                <c:pt idx="24">
                  <c:v>0.38454532575036937</c:v>
                </c:pt>
                <c:pt idx="25">
                  <c:v>0.38454532575036937</c:v>
                </c:pt>
                <c:pt idx="26">
                  <c:v>0.38454532575036937</c:v>
                </c:pt>
                <c:pt idx="27">
                  <c:v>0.3238276427371532</c:v>
                </c:pt>
                <c:pt idx="28">
                  <c:v>0.3238276427371532</c:v>
                </c:pt>
                <c:pt idx="29">
                  <c:v>0.3238276427371532</c:v>
                </c:pt>
                <c:pt idx="30">
                  <c:v>0.3238276427371532</c:v>
                </c:pt>
                <c:pt idx="31">
                  <c:v>0.3238276427371532</c:v>
                </c:pt>
                <c:pt idx="32">
                  <c:v>0.3238276427371532</c:v>
                </c:pt>
                <c:pt idx="33">
                  <c:v>0.3238276427371532</c:v>
                </c:pt>
                <c:pt idx="34">
                  <c:v>0.3238276427371532</c:v>
                </c:pt>
                <c:pt idx="35">
                  <c:v>0.3238276427371532</c:v>
                </c:pt>
                <c:pt idx="36">
                  <c:v>0.3238276427371532</c:v>
                </c:pt>
                <c:pt idx="37">
                  <c:v>0.28334918739500903</c:v>
                </c:pt>
                <c:pt idx="38">
                  <c:v>0.28334918739500903</c:v>
                </c:pt>
                <c:pt idx="39">
                  <c:v>0.28334918739500903</c:v>
                </c:pt>
                <c:pt idx="40">
                  <c:v>0.28334918739500903</c:v>
                </c:pt>
                <c:pt idx="41">
                  <c:v>0.28334918739500903</c:v>
                </c:pt>
                <c:pt idx="42">
                  <c:v>0.28334918739500903</c:v>
                </c:pt>
                <c:pt idx="43">
                  <c:v>0.28334918739500903</c:v>
                </c:pt>
                <c:pt idx="44">
                  <c:v>0.28334918739500903</c:v>
                </c:pt>
                <c:pt idx="45">
                  <c:v>0.28334918739500903</c:v>
                </c:pt>
                <c:pt idx="46">
                  <c:v>0.28334918739500903</c:v>
                </c:pt>
                <c:pt idx="47">
                  <c:v>0.2226315043817928</c:v>
                </c:pt>
                <c:pt idx="48">
                  <c:v>0.2226315043817928</c:v>
                </c:pt>
                <c:pt idx="49">
                  <c:v>0.2226315043817928</c:v>
                </c:pt>
                <c:pt idx="50">
                  <c:v>0.2226315043817928</c:v>
                </c:pt>
                <c:pt idx="51">
                  <c:v>0.2226315043817928</c:v>
                </c:pt>
                <c:pt idx="52">
                  <c:v>0.2226315043817928</c:v>
                </c:pt>
                <c:pt idx="53">
                  <c:v>0.2226315043817928</c:v>
                </c:pt>
                <c:pt idx="54">
                  <c:v>0.2226315043817928</c:v>
                </c:pt>
                <c:pt idx="55">
                  <c:v>0.2226315043817928</c:v>
                </c:pt>
                <c:pt idx="56">
                  <c:v>0.2226315043817928</c:v>
                </c:pt>
                <c:pt idx="57">
                  <c:v>0.36430609807929731</c:v>
                </c:pt>
                <c:pt idx="58">
                  <c:v>0.36430609807929731</c:v>
                </c:pt>
                <c:pt idx="59">
                  <c:v>0.36430609807929731</c:v>
                </c:pt>
                <c:pt idx="60">
                  <c:v>0.36430609807929731</c:v>
                </c:pt>
                <c:pt idx="61">
                  <c:v>0.36430609807929731</c:v>
                </c:pt>
                <c:pt idx="62">
                  <c:v>0.36430609807929731</c:v>
                </c:pt>
                <c:pt idx="63">
                  <c:v>0.36430609807929731</c:v>
                </c:pt>
                <c:pt idx="64">
                  <c:v>0.36430609807929731</c:v>
                </c:pt>
                <c:pt idx="65">
                  <c:v>0.36430609807929731</c:v>
                </c:pt>
                <c:pt idx="66">
                  <c:v>0.36430609807929731</c:v>
                </c:pt>
                <c:pt idx="67">
                  <c:v>0.3238276427371532</c:v>
                </c:pt>
                <c:pt idx="68">
                  <c:v>0.3238276427371532</c:v>
                </c:pt>
                <c:pt idx="69">
                  <c:v>0.3238276427371532</c:v>
                </c:pt>
                <c:pt idx="70">
                  <c:v>0.3238276427371532</c:v>
                </c:pt>
                <c:pt idx="71">
                  <c:v>0.3238276427371532</c:v>
                </c:pt>
                <c:pt idx="72">
                  <c:v>0.3238276427371532</c:v>
                </c:pt>
                <c:pt idx="73">
                  <c:v>0.3238276427371532</c:v>
                </c:pt>
                <c:pt idx="74">
                  <c:v>0.3238276427371532</c:v>
                </c:pt>
                <c:pt idx="75">
                  <c:v>0.3238276427371532</c:v>
                </c:pt>
                <c:pt idx="76">
                  <c:v>0.3238276427371532</c:v>
                </c:pt>
                <c:pt idx="77">
                  <c:v>0.34406687040822526</c:v>
                </c:pt>
                <c:pt idx="78">
                  <c:v>0.34406687040822526</c:v>
                </c:pt>
                <c:pt idx="79">
                  <c:v>0.34406687040822526</c:v>
                </c:pt>
                <c:pt idx="80">
                  <c:v>0.34406687040822526</c:v>
                </c:pt>
                <c:pt idx="81">
                  <c:v>0.34406687040822526</c:v>
                </c:pt>
                <c:pt idx="82">
                  <c:v>0.34406687040822526</c:v>
                </c:pt>
                <c:pt idx="83">
                  <c:v>0.34406687040822526</c:v>
                </c:pt>
                <c:pt idx="84">
                  <c:v>0.34406687040822526</c:v>
                </c:pt>
                <c:pt idx="85">
                  <c:v>0.34406687040822526</c:v>
                </c:pt>
                <c:pt idx="86">
                  <c:v>0.34406687040822526</c:v>
                </c:pt>
                <c:pt idx="87">
                  <c:v>0.36430609807929731</c:v>
                </c:pt>
                <c:pt idx="88">
                  <c:v>0.36430609807929731</c:v>
                </c:pt>
                <c:pt idx="89">
                  <c:v>0.36430609807929731</c:v>
                </c:pt>
                <c:pt idx="90">
                  <c:v>0.36430609807929731</c:v>
                </c:pt>
                <c:pt idx="91">
                  <c:v>0.36430609807929731</c:v>
                </c:pt>
                <c:pt idx="92">
                  <c:v>0.36430609807929731</c:v>
                </c:pt>
                <c:pt idx="93">
                  <c:v>0.36430609807929731</c:v>
                </c:pt>
                <c:pt idx="94">
                  <c:v>0.36430609807929731</c:v>
                </c:pt>
                <c:pt idx="95">
                  <c:v>0.36430609807929731</c:v>
                </c:pt>
                <c:pt idx="96">
                  <c:v>0.36430609807929731</c:v>
                </c:pt>
                <c:pt idx="97">
                  <c:v>0.40478455342144148</c:v>
                </c:pt>
                <c:pt idx="98">
                  <c:v>0.40478455342144148</c:v>
                </c:pt>
                <c:pt idx="99">
                  <c:v>0.40478455342144148</c:v>
                </c:pt>
                <c:pt idx="100">
                  <c:v>0.40478455342144148</c:v>
                </c:pt>
                <c:pt idx="101">
                  <c:v>0.40478455342144148</c:v>
                </c:pt>
                <c:pt idx="102">
                  <c:v>0.40478455342144148</c:v>
                </c:pt>
                <c:pt idx="103">
                  <c:v>0.40478455342144148</c:v>
                </c:pt>
                <c:pt idx="104">
                  <c:v>0.40478455342144148</c:v>
                </c:pt>
                <c:pt idx="105">
                  <c:v>0.40478455342144148</c:v>
                </c:pt>
                <c:pt idx="106">
                  <c:v>0.40478455342144148</c:v>
                </c:pt>
                <c:pt idx="107">
                  <c:v>0.62741605780323428</c:v>
                </c:pt>
                <c:pt idx="108">
                  <c:v>0.62741605780323428</c:v>
                </c:pt>
                <c:pt idx="109">
                  <c:v>0.62741605780323428</c:v>
                </c:pt>
                <c:pt idx="110">
                  <c:v>0.62741605780323428</c:v>
                </c:pt>
                <c:pt idx="111">
                  <c:v>0.62741605780323428</c:v>
                </c:pt>
              </c:numCache>
            </c:numRef>
          </c:val>
          <c:smooth val="0"/>
        </c:ser>
        <c:ser>
          <c:idx val="4"/>
          <c:order val="2"/>
          <c:tx>
            <c:v>Suikerprijs Stipriaan</c:v>
          </c:tx>
          <c:marker>
            <c:symbol val="none"/>
          </c:marker>
          <c:cat>
            <c:numRef>
              <c:f>'2- Prijzen'!$A$9:$A$120</c:f>
              <c:numCache>
                <c:formatCode>General</c:formatCode>
                <c:ptCount val="112"/>
                <c:pt idx="0">
                  <c:v>1683</c:v>
                </c:pt>
                <c:pt idx="1">
                  <c:v>1684</c:v>
                </c:pt>
                <c:pt idx="2">
                  <c:v>1685</c:v>
                </c:pt>
                <c:pt idx="3">
                  <c:v>1686</c:v>
                </c:pt>
                <c:pt idx="4">
                  <c:v>1687</c:v>
                </c:pt>
                <c:pt idx="5">
                  <c:v>1688</c:v>
                </c:pt>
                <c:pt idx="6">
                  <c:v>1689</c:v>
                </c:pt>
                <c:pt idx="7">
                  <c:v>1690</c:v>
                </c:pt>
                <c:pt idx="8">
                  <c:v>1691</c:v>
                </c:pt>
                <c:pt idx="9">
                  <c:v>1692</c:v>
                </c:pt>
                <c:pt idx="10">
                  <c:v>1693</c:v>
                </c:pt>
                <c:pt idx="11">
                  <c:v>1694</c:v>
                </c:pt>
                <c:pt idx="12">
                  <c:v>1695</c:v>
                </c:pt>
                <c:pt idx="13">
                  <c:v>1696</c:v>
                </c:pt>
                <c:pt idx="14">
                  <c:v>1697</c:v>
                </c:pt>
                <c:pt idx="15">
                  <c:v>1698</c:v>
                </c:pt>
                <c:pt idx="16">
                  <c:v>1699</c:v>
                </c:pt>
                <c:pt idx="17">
                  <c:v>1700</c:v>
                </c:pt>
                <c:pt idx="18">
                  <c:v>1701</c:v>
                </c:pt>
                <c:pt idx="19">
                  <c:v>1702</c:v>
                </c:pt>
                <c:pt idx="20">
                  <c:v>1703</c:v>
                </c:pt>
                <c:pt idx="21">
                  <c:v>1704</c:v>
                </c:pt>
                <c:pt idx="22">
                  <c:v>1705</c:v>
                </c:pt>
                <c:pt idx="23">
                  <c:v>1706</c:v>
                </c:pt>
                <c:pt idx="24">
                  <c:v>1707</c:v>
                </c:pt>
                <c:pt idx="25">
                  <c:v>1708</c:v>
                </c:pt>
                <c:pt idx="26">
                  <c:v>1709</c:v>
                </c:pt>
                <c:pt idx="27">
                  <c:v>1710</c:v>
                </c:pt>
                <c:pt idx="28">
                  <c:v>1711</c:v>
                </c:pt>
                <c:pt idx="29">
                  <c:v>1712</c:v>
                </c:pt>
                <c:pt idx="30">
                  <c:v>1713</c:v>
                </c:pt>
                <c:pt idx="31">
                  <c:v>1714</c:v>
                </c:pt>
                <c:pt idx="32">
                  <c:v>1715</c:v>
                </c:pt>
                <c:pt idx="33">
                  <c:v>1716</c:v>
                </c:pt>
                <c:pt idx="34">
                  <c:v>1717</c:v>
                </c:pt>
                <c:pt idx="35">
                  <c:v>1718</c:v>
                </c:pt>
                <c:pt idx="36">
                  <c:v>1719</c:v>
                </c:pt>
                <c:pt idx="37">
                  <c:v>1720</c:v>
                </c:pt>
                <c:pt idx="38">
                  <c:v>1721</c:v>
                </c:pt>
                <c:pt idx="39">
                  <c:v>1722</c:v>
                </c:pt>
                <c:pt idx="40">
                  <c:v>1723</c:v>
                </c:pt>
                <c:pt idx="41">
                  <c:v>1724</c:v>
                </c:pt>
                <c:pt idx="42">
                  <c:v>1725</c:v>
                </c:pt>
                <c:pt idx="43">
                  <c:v>1726</c:v>
                </c:pt>
                <c:pt idx="44">
                  <c:v>1727</c:v>
                </c:pt>
                <c:pt idx="45">
                  <c:v>1728</c:v>
                </c:pt>
                <c:pt idx="46">
                  <c:v>1729</c:v>
                </c:pt>
                <c:pt idx="47">
                  <c:v>1730</c:v>
                </c:pt>
                <c:pt idx="48">
                  <c:v>1731</c:v>
                </c:pt>
                <c:pt idx="49">
                  <c:v>1732</c:v>
                </c:pt>
                <c:pt idx="50">
                  <c:v>1733</c:v>
                </c:pt>
                <c:pt idx="51">
                  <c:v>1734</c:v>
                </c:pt>
                <c:pt idx="52">
                  <c:v>1735</c:v>
                </c:pt>
                <c:pt idx="53">
                  <c:v>1736</c:v>
                </c:pt>
                <c:pt idx="54">
                  <c:v>1737</c:v>
                </c:pt>
                <c:pt idx="55">
                  <c:v>1738</c:v>
                </c:pt>
                <c:pt idx="56">
                  <c:v>1739</c:v>
                </c:pt>
                <c:pt idx="57">
                  <c:v>1740</c:v>
                </c:pt>
                <c:pt idx="58">
                  <c:v>1741</c:v>
                </c:pt>
                <c:pt idx="59">
                  <c:v>1742</c:v>
                </c:pt>
                <c:pt idx="60">
                  <c:v>1743</c:v>
                </c:pt>
                <c:pt idx="61">
                  <c:v>1744</c:v>
                </c:pt>
                <c:pt idx="62">
                  <c:v>1745</c:v>
                </c:pt>
                <c:pt idx="63">
                  <c:v>1746</c:v>
                </c:pt>
                <c:pt idx="64">
                  <c:v>1747</c:v>
                </c:pt>
                <c:pt idx="65">
                  <c:v>1748</c:v>
                </c:pt>
                <c:pt idx="66">
                  <c:v>1749</c:v>
                </c:pt>
                <c:pt idx="67">
                  <c:v>1750</c:v>
                </c:pt>
                <c:pt idx="68">
                  <c:v>1751</c:v>
                </c:pt>
                <c:pt idx="69">
                  <c:v>1752</c:v>
                </c:pt>
                <c:pt idx="70">
                  <c:v>1753</c:v>
                </c:pt>
                <c:pt idx="71">
                  <c:v>1754</c:v>
                </c:pt>
                <c:pt idx="72">
                  <c:v>1755</c:v>
                </c:pt>
                <c:pt idx="73">
                  <c:v>1756</c:v>
                </c:pt>
                <c:pt idx="74">
                  <c:v>1757</c:v>
                </c:pt>
                <c:pt idx="75">
                  <c:v>1758</c:v>
                </c:pt>
                <c:pt idx="76">
                  <c:v>1759</c:v>
                </c:pt>
                <c:pt idx="77">
                  <c:v>1760</c:v>
                </c:pt>
                <c:pt idx="78">
                  <c:v>1761</c:v>
                </c:pt>
                <c:pt idx="79">
                  <c:v>1762</c:v>
                </c:pt>
                <c:pt idx="80">
                  <c:v>1763</c:v>
                </c:pt>
                <c:pt idx="81">
                  <c:v>1764</c:v>
                </c:pt>
                <c:pt idx="82">
                  <c:v>1765</c:v>
                </c:pt>
                <c:pt idx="83">
                  <c:v>1766</c:v>
                </c:pt>
                <c:pt idx="84">
                  <c:v>1767</c:v>
                </c:pt>
                <c:pt idx="85">
                  <c:v>1768</c:v>
                </c:pt>
                <c:pt idx="86">
                  <c:v>1769</c:v>
                </c:pt>
                <c:pt idx="87">
                  <c:v>1770</c:v>
                </c:pt>
                <c:pt idx="88">
                  <c:v>1771</c:v>
                </c:pt>
                <c:pt idx="89">
                  <c:v>1772</c:v>
                </c:pt>
                <c:pt idx="90">
                  <c:v>1773</c:v>
                </c:pt>
                <c:pt idx="91">
                  <c:v>1774</c:v>
                </c:pt>
                <c:pt idx="92">
                  <c:v>1775</c:v>
                </c:pt>
                <c:pt idx="93">
                  <c:v>1776</c:v>
                </c:pt>
                <c:pt idx="94">
                  <c:v>1777</c:v>
                </c:pt>
                <c:pt idx="95">
                  <c:v>1778</c:v>
                </c:pt>
                <c:pt idx="96">
                  <c:v>1779</c:v>
                </c:pt>
                <c:pt idx="97">
                  <c:v>1780</c:v>
                </c:pt>
                <c:pt idx="98">
                  <c:v>1781</c:v>
                </c:pt>
                <c:pt idx="99">
                  <c:v>1782</c:v>
                </c:pt>
                <c:pt idx="100">
                  <c:v>1783</c:v>
                </c:pt>
                <c:pt idx="101">
                  <c:v>1784</c:v>
                </c:pt>
                <c:pt idx="102">
                  <c:v>1785</c:v>
                </c:pt>
                <c:pt idx="103">
                  <c:v>1786</c:v>
                </c:pt>
                <c:pt idx="104">
                  <c:v>1787</c:v>
                </c:pt>
                <c:pt idx="105">
                  <c:v>1788</c:v>
                </c:pt>
                <c:pt idx="106">
                  <c:v>1789</c:v>
                </c:pt>
                <c:pt idx="107">
                  <c:v>1790</c:v>
                </c:pt>
                <c:pt idx="108">
                  <c:v>1791</c:v>
                </c:pt>
                <c:pt idx="109">
                  <c:v>1792</c:v>
                </c:pt>
                <c:pt idx="110">
                  <c:v>1793</c:v>
                </c:pt>
                <c:pt idx="111">
                  <c:v>1794</c:v>
                </c:pt>
              </c:numCache>
            </c:numRef>
          </c:cat>
          <c:val>
            <c:numRef>
              <c:f>'2- Prijzen'!$F$9:$F$120</c:f>
              <c:numCache>
                <c:formatCode>General</c:formatCode>
                <c:ptCount val="112"/>
                <c:pt idx="58">
                  <c:v>0.32</c:v>
                </c:pt>
                <c:pt idx="59">
                  <c:v>0.28000000000000003</c:v>
                </c:pt>
                <c:pt idx="60">
                  <c:v>0.34</c:v>
                </c:pt>
                <c:pt idx="61">
                  <c:v>0.36</c:v>
                </c:pt>
                <c:pt idx="62">
                  <c:v>0.38</c:v>
                </c:pt>
                <c:pt idx="63">
                  <c:v>0.42</c:v>
                </c:pt>
                <c:pt idx="64">
                  <c:v>0.42</c:v>
                </c:pt>
                <c:pt idx="65">
                  <c:v>0.36</c:v>
                </c:pt>
                <c:pt idx="67">
                  <c:v>0.22</c:v>
                </c:pt>
                <c:pt idx="68">
                  <c:v>0.24</c:v>
                </c:pt>
                <c:pt idx="69">
                  <c:v>0.24</c:v>
                </c:pt>
                <c:pt idx="70">
                  <c:v>0.26</c:v>
                </c:pt>
                <c:pt idx="71">
                  <c:v>0.28000000000000003</c:v>
                </c:pt>
                <c:pt idx="72">
                  <c:v>0.42</c:v>
                </c:pt>
                <c:pt idx="73">
                  <c:v>0.42</c:v>
                </c:pt>
                <c:pt idx="74">
                  <c:v>0.4</c:v>
                </c:pt>
                <c:pt idx="75">
                  <c:v>0.46</c:v>
                </c:pt>
                <c:pt idx="77">
                  <c:v>0.36</c:v>
                </c:pt>
                <c:pt idx="78">
                  <c:v>0.4</c:v>
                </c:pt>
                <c:pt idx="79">
                  <c:v>0.42</c:v>
                </c:pt>
                <c:pt idx="80">
                  <c:v>0.36</c:v>
                </c:pt>
                <c:pt idx="81">
                  <c:v>0.3</c:v>
                </c:pt>
                <c:pt idx="82">
                  <c:v>0.3</c:v>
                </c:pt>
                <c:pt idx="83">
                  <c:v>0.26</c:v>
                </c:pt>
                <c:pt idx="84">
                  <c:v>0.3</c:v>
                </c:pt>
                <c:pt idx="85">
                  <c:v>0.32</c:v>
                </c:pt>
                <c:pt idx="86">
                  <c:v>0.3</c:v>
                </c:pt>
                <c:pt idx="87">
                  <c:v>0.32</c:v>
                </c:pt>
                <c:pt idx="88">
                  <c:v>0.34</c:v>
                </c:pt>
                <c:pt idx="89">
                  <c:v>0.3</c:v>
                </c:pt>
                <c:pt idx="90">
                  <c:v>0.3</c:v>
                </c:pt>
                <c:pt idx="91">
                  <c:v>0.32</c:v>
                </c:pt>
                <c:pt idx="92">
                  <c:v>0.32</c:v>
                </c:pt>
                <c:pt idx="93">
                  <c:v>0.32</c:v>
                </c:pt>
                <c:pt idx="94">
                  <c:v>0.4</c:v>
                </c:pt>
                <c:pt idx="95">
                  <c:v>0.52</c:v>
                </c:pt>
                <c:pt idx="96">
                  <c:v>0.54</c:v>
                </c:pt>
                <c:pt idx="97">
                  <c:v>0.54</c:v>
                </c:pt>
                <c:pt idx="98">
                  <c:v>0.57999999999999996</c:v>
                </c:pt>
                <c:pt idx="100">
                  <c:v>0.3</c:v>
                </c:pt>
                <c:pt idx="101">
                  <c:v>0.32</c:v>
                </c:pt>
                <c:pt idx="102">
                  <c:v>0.34</c:v>
                </c:pt>
                <c:pt idx="103">
                  <c:v>0.32</c:v>
                </c:pt>
                <c:pt idx="104">
                  <c:v>0.4</c:v>
                </c:pt>
                <c:pt idx="105">
                  <c:v>0.42</c:v>
                </c:pt>
                <c:pt idx="106">
                  <c:v>0.44</c:v>
                </c:pt>
                <c:pt idx="107">
                  <c:v>0.46</c:v>
                </c:pt>
                <c:pt idx="108">
                  <c:v>0.54</c:v>
                </c:pt>
                <c:pt idx="109">
                  <c:v>0.72</c:v>
                </c:pt>
                <c:pt idx="110">
                  <c:v>0.72</c:v>
                </c:pt>
                <c:pt idx="111">
                  <c:v>0.7</c:v>
                </c:pt>
              </c:numCache>
            </c:numRef>
          </c:val>
          <c:smooth val="0"/>
        </c:ser>
        <c:ser>
          <c:idx val="0"/>
          <c:order val="3"/>
          <c:tx>
            <c:v>Koffieprijs Stipriaan</c:v>
          </c:tx>
          <c:marker>
            <c:symbol val="none"/>
          </c:marker>
          <c:val>
            <c:numRef>
              <c:f>'2- Prijzen'!$G$9:$G$120</c:f>
              <c:numCache>
                <c:formatCode>General</c:formatCode>
                <c:ptCount val="112"/>
                <c:pt idx="57">
                  <c:v>0.8</c:v>
                </c:pt>
                <c:pt idx="58">
                  <c:v>0.72</c:v>
                </c:pt>
                <c:pt idx="59">
                  <c:v>0.72</c:v>
                </c:pt>
                <c:pt idx="60">
                  <c:v>0.68</c:v>
                </c:pt>
                <c:pt idx="61">
                  <c:v>0.86</c:v>
                </c:pt>
                <c:pt idx="62">
                  <c:v>1</c:v>
                </c:pt>
                <c:pt idx="63">
                  <c:v>1.4</c:v>
                </c:pt>
                <c:pt idx="64">
                  <c:v>1.38</c:v>
                </c:pt>
                <c:pt idx="65">
                  <c:v>1.48</c:v>
                </c:pt>
                <c:pt idx="67">
                  <c:v>1</c:v>
                </c:pt>
                <c:pt idx="68">
                  <c:v>0.96</c:v>
                </c:pt>
                <c:pt idx="69">
                  <c:v>0.96</c:v>
                </c:pt>
                <c:pt idx="70">
                  <c:v>0.94</c:v>
                </c:pt>
                <c:pt idx="71">
                  <c:v>0.84</c:v>
                </c:pt>
                <c:pt idx="72">
                  <c:v>1.04</c:v>
                </c:pt>
                <c:pt idx="73">
                  <c:v>1.02</c:v>
                </c:pt>
                <c:pt idx="74">
                  <c:v>0.78</c:v>
                </c:pt>
                <c:pt idx="75">
                  <c:v>0.82</c:v>
                </c:pt>
                <c:pt idx="77">
                  <c:v>0.72</c:v>
                </c:pt>
                <c:pt idx="78">
                  <c:v>0.7</c:v>
                </c:pt>
                <c:pt idx="79">
                  <c:v>0.74</c:v>
                </c:pt>
                <c:pt idx="80">
                  <c:v>0.76</c:v>
                </c:pt>
                <c:pt idx="81">
                  <c:v>0.74</c:v>
                </c:pt>
                <c:pt idx="82">
                  <c:v>0.78</c:v>
                </c:pt>
                <c:pt idx="83">
                  <c:v>0.78</c:v>
                </c:pt>
                <c:pt idx="84">
                  <c:v>0.94</c:v>
                </c:pt>
                <c:pt idx="85">
                  <c:v>1.06</c:v>
                </c:pt>
                <c:pt idx="86">
                  <c:v>1.04</c:v>
                </c:pt>
                <c:pt idx="87">
                  <c:v>1.1399999999999999</c:v>
                </c:pt>
                <c:pt idx="88">
                  <c:v>1.1000000000000001</c:v>
                </c:pt>
                <c:pt idx="89">
                  <c:v>0.92</c:v>
                </c:pt>
                <c:pt idx="90">
                  <c:v>0.76</c:v>
                </c:pt>
                <c:pt idx="91">
                  <c:v>0.66</c:v>
                </c:pt>
                <c:pt idx="92">
                  <c:v>0.56000000000000005</c:v>
                </c:pt>
                <c:pt idx="93">
                  <c:v>0.6</c:v>
                </c:pt>
                <c:pt idx="94">
                  <c:v>0.57999999999999996</c:v>
                </c:pt>
                <c:pt idx="95">
                  <c:v>0.66</c:v>
                </c:pt>
                <c:pt idx="96">
                  <c:v>0.72</c:v>
                </c:pt>
                <c:pt idx="97">
                  <c:v>0.78</c:v>
                </c:pt>
                <c:pt idx="98">
                  <c:v>1.34</c:v>
                </c:pt>
                <c:pt idx="99">
                  <c:v>1.56</c:v>
                </c:pt>
                <c:pt idx="100">
                  <c:v>0.66</c:v>
                </c:pt>
                <c:pt idx="101">
                  <c:v>0.84</c:v>
                </c:pt>
                <c:pt idx="102">
                  <c:v>0.96</c:v>
                </c:pt>
                <c:pt idx="103">
                  <c:v>0.98</c:v>
                </c:pt>
                <c:pt idx="104">
                  <c:v>1.1200000000000001</c:v>
                </c:pt>
                <c:pt idx="105">
                  <c:v>1.26</c:v>
                </c:pt>
                <c:pt idx="106">
                  <c:v>1.24</c:v>
                </c:pt>
                <c:pt idx="107">
                  <c:v>1.02</c:v>
                </c:pt>
                <c:pt idx="108">
                  <c:v>1</c:v>
                </c:pt>
                <c:pt idx="109">
                  <c:v>1.18</c:v>
                </c:pt>
                <c:pt idx="110">
                  <c:v>1.18</c:v>
                </c:pt>
                <c:pt idx="111">
                  <c:v>1.21</c:v>
                </c:pt>
              </c:numCache>
            </c:numRef>
          </c:val>
          <c:smooth val="0"/>
        </c:ser>
        <c:ser>
          <c:idx val="1"/>
          <c:order val="4"/>
          <c:tx>
            <c:v>Koffieprijs Postma</c:v>
          </c:tx>
          <c:marker>
            <c:symbol val="none"/>
          </c:marker>
          <c:val>
            <c:numRef>
              <c:f>'2- Prijzen'!$O$9:$O$120</c:f>
              <c:numCache>
                <c:formatCode>General</c:formatCode>
                <c:ptCount val="112"/>
                <c:pt idx="37">
                  <c:v>1.2548321156064686</c:v>
                </c:pt>
                <c:pt idx="38">
                  <c:v>1.2548321156064686</c:v>
                </c:pt>
                <c:pt idx="39">
                  <c:v>1.2548321156064686</c:v>
                </c:pt>
                <c:pt idx="40">
                  <c:v>1.2548321156064686</c:v>
                </c:pt>
                <c:pt idx="41">
                  <c:v>1.2548321156064686</c:v>
                </c:pt>
                <c:pt idx="42">
                  <c:v>1.2548321156064686</c:v>
                </c:pt>
                <c:pt idx="43">
                  <c:v>1.2548321156064686</c:v>
                </c:pt>
                <c:pt idx="44">
                  <c:v>1.2548321156064686</c:v>
                </c:pt>
                <c:pt idx="45">
                  <c:v>1.2548321156064686</c:v>
                </c:pt>
                <c:pt idx="46">
                  <c:v>1.2548321156064686</c:v>
                </c:pt>
                <c:pt idx="47">
                  <c:v>1.2548321156064686</c:v>
                </c:pt>
                <c:pt idx="48">
                  <c:v>1.2548321156064686</c:v>
                </c:pt>
                <c:pt idx="49">
                  <c:v>1.2548321156064686</c:v>
                </c:pt>
                <c:pt idx="50">
                  <c:v>1.2548321156064686</c:v>
                </c:pt>
                <c:pt idx="51">
                  <c:v>1.2548321156064686</c:v>
                </c:pt>
                <c:pt idx="52">
                  <c:v>1.2548321156064686</c:v>
                </c:pt>
                <c:pt idx="53">
                  <c:v>1.2548321156064686</c:v>
                </c:pt>
                <c:pt idx="54">
                  <c:v>1.2548321156064686</c:v>
                </c:pt>
                <c:pt idx="55">
                  <c:v>1.2548321156064686</c:v>
                </c:pt>
                <c:pt idx="56">
                  <c:v>1.2548321156064686</c:v>
                </c:pt>
                <c:pt idx="57">
                  <c:v>1.0119613835536037</c:v>
                </c:pt>
                <c:pt idx="58">
                  <c:v>1.0119613835536037</c:v>
                </c:pt>
                <c:pt idx="59">
                  <c:v>1.0119613835536037</c:v>
                </c:pt>
                <c:pt idx="60">
                  <c:v>1.0119613835536037</c:v>
                </c:pt>
                <c:pt idx="61">
                  <c:v>1.0119613835536037</c:v>
                </c:pt>
                <c:pt idx="62">
                  <c:v>1.0119613835536037</c:v>
                </c:pt>
                <c:pt idx="63">
                  <c:v>1.0119613835536037</c:v>
                </c:pt>
                <c:pt idx="64">
                  <c:v>1.0119613835536037</c:v>
                </c:pt>
                <c:pt idx="65">
                  <c:v>1.0119613835536037</c:v>
                </c:pt>
                <c:pt idx="66">
                  <c:v>1.0119613835536037</c:v>
                </c:pt>
                <c:pt idx="67">
                  <c:v>0.93100447286931542</c:v>
                </c:pt>
                <c:pt idx="68">
                  <c:v>0.93100447286931542</c:v>
                </c:pt>
                <c:pt idx="69">
                  <c:v>0.93100447286931542</c:v>
                </c:pt>
                <c:pt idx="70">
                  <c:v>0.93100447286931542</c:v>
                </c:pt>
                <c:pt idx="71">
                  <c:v>0.93100447286931542</c:v>
                </c:pt>
                <c:pt idx="72">
                  <c:v>0.93100447286931542</c:v>
                </c:pt>
                <c:pt idx="73">
                  <c:v>0.93100447286931542</c:v>
                </c:pt>
                <c:pt idx="74">
                  <c:v>0.93100447286931542</c:v>
                </c:pt>
                <c:pt idx="75">
                  <c:v>0.93100447286931542</c:v>
                </c:pt>
                <c:pt idx="76">
                  <c:v>0.93100447286931542</c:v>
                </c:pt>
                <c:pt idx="77">
                  <c:v>0.82980833451395497</c:v>
                </c:pt>
                <c:pt idx="78">
                  <c:v>0.82980833451395497</c:v>
                </c:pt>
                <c:pt idx="79">
                  <c:v>0.82980833451395497</c:v>
                </c:pt>
                <c:pt idx="80">
                  <c:v>0.82980833451395497</c:v>
                </c:pt>
                <c:pt idx="81">
                  <c:v>0.82980833451395497</c:v>
                </c:pt>
                <c:pt idx="82">
                  <c:v>0.82980833451395497</c:v>
                </c:pt>
                <c:pt idx="83">
                  <c:v>0.82980833451395497</c:v>
                </c:pt>
                <c:pt idx="84">
                  <c:v>0.82980833451395497</c:v>
                </c:pt>
                <c:pt idx="85">
                  <c:v>0.82980833451395497</c:v>
                </c:pt>
                <c:pt idx="86">
                  <c:v>0.82980833451395497</c:v>
                </c:pt>
                <c:pt idx="87">
                  <c:v>0.78932987917181086</c:v>
                </c:pt>
                <c:pt idx="88">
                  <c:v>0.78932987917181086</c:v>
                </c:pt>
                <c:pt idx="89">
                  <c:v>0.78932987917181086</c:v>
                </c:pt>
                <c:pt idx="90">
                  <c:v>0.78932987917181086</c:v>
                </c:pt>
                <c:pt idx="91">
                  <c:v>0.78932987917181086</c:v>
                </c:pt>
                <c:pt idx="92">
                  <c:v>0.78932987917181086</c:v>
                </c:pt>
                <c:pt idx="93">
                  <c:v>0.78932987917181086</c:v>
                </c:pt>
                <c:pt idx="94">
                  <c:v>0.78932987917181086</c:v>
                </c:pt>
                <c:pt idx="95">
                  <c:v>0.78932987917181086</c:v>
                </c:pt>
                <c:pt idx="96">
                  <c:v>0.78932987917181086</c:v>
                </c:pt>
                <c:pt idx="97">
                  <c:v>1.113157521908964</c:v>
                </c:pt>
                <c:pt idx="98">
                  <c:v>1.113157521908964</c:v>
                </c:pt>
                <c:pt idx="99">
                  <c:v>1.113157521908964</c:v>
                </c:pt>
                <c:pt idx="100">
                  <c:v>1.113157521908964</c:v>
                </c:pt>
                <c:pt idx="101">
                  <c:v>1.113157521908964</c:v>
                </c:pt>
                <c:pt idx="102">
                  <c:v>1.113157521908964</c:v>
                </c:pt>
                <c:pt idx="103">
                  <c:v>1.113157521908964</c:v>
                </c:pt>
                <c:pt idx="104">
                  <c:v>1.113157521908964</c:v>
                </c:pt>
                <c:pt idx="105">
                  <c:v>1.113157521908964</c:v>
                </c:pt>
                <c:pt idx="106">
                  <c:v>1.113157521908964</c:v>
                </c:pt>
                <c:pt idx="107">
                  <c:v>1.1333967495800361</c:v>
                </c:pt>
                <c:pt idx="108">
                  <c:v>1.1333967495800361</c:v>
                </c:pt>
                <c:pt idx="109">
                  <c:v>1.1333967495800361</c:v>
                </c:pt>
                <c:pt idx="110">
                  <c:v>1.1333967495800361</c:v>
                </c:pt>
                <c:pt idx="111">
                  <c:v>1.1333967495800361</c:v>
                </c:pt>
              </c:numCache>
            </c:numRef>
          </c:val>
          <c:smooth val="0"/>
        </c:ser>
        <c:ser>
          <c:idx val="3"/>
          <c:order val="5"/>
          <c:tx>
            <c:v>Koffieprijs gemiddeld per jaar</c:v>
          </c:tx>
          <c:marker>
            <c:symbol val="none"/>
          </c:marker>
          <c:val>
            <c:numRef>
              <c:f>'2- Prijzen'!$Z$9:$Z$120</c:f>
              <c:numCache>
                <c:formatCode>General</c:formatCode>
                <c:ptCount val="112"/>
                <c:pt idx="37">
                  <c:v>1.2548321156064686</c:v>
                </c:pt>
                <c:pt idx="38">
                  <c:v>1.2548321156064686</c:v>
                </c:pt>
                <c:pt idx="39">
                  <c:v>1.2548321156064686</c:v>
                </c:pt>
                <c:pt idx="40">
                  <c:v>1.2548321156064686</c:v>
                </c:pt>
                <c:pt idx="41">
                  <c:v>1.2548321156064686</c:v>
                </c:pt>
                <c:pt idx="42">
                  <c:v>1.2548321156064686</c:v>
                </c:pt>
                <c:pt idx="43">
                  <c:v>1.2548321156064686</c:v>
                </c:pt>
                <c:pt idx="44">
                  <c:v>1.2548321156064686</c:v>
                </c:pt>
                <c:pt idx="45">
                  <c:v>1.2548321156064686</c:v>
                </c:pt>
                <c:pt idx="46">
                  <c:v>1.2548321156064686</c:v>
                </c:pt>
                <c:pt idx="47">
                  <c:v>1.2548321156064686</c:v>
                </c:pt>
                <c:pt idx="48">
                  <c:v>1.2548321156064686</c:v>
                </c:pt>
                <c:pt idx="49">
                  <c:v>1.2548321156064686</c:v>
                </c:pt>
                <c:pt idx="50">
                  <c:v>1.2548321156064686</c:v>
                </c:pt>
                <c:pt idx="51">
                  <c:v>1.2548321156064686</c:v>
                </c:pt>
                <c:pt idx="52">
                  <c:v>1.2548321156064686</c:v>
                </c:pt>
                <c:pt idx="53">
                  <c:v>1.2548321156064686</c:v>
                </c:pt>
                <c:pt idx="54">
                  <c:v>1.2548321156064686</c:v>
                </c:pt>
                <c:pt idx="55">
                  <c:v>1.2548321156064686</c:v>
                </c:pt>
                <c:pt idx="56">
                  <c:v>1.2548321156064686</c:v>
                </c:pt>
                <c:pt idx="57">
                  <c:v>0.90598069177680185</c:v>
                </c:pt>
                <c:pt idx="58">
                  <c:v>0.86598069177680181</c:v>
                </c:pt>
                <c:pt idx="59">
                  <c:v>0.86598069177680181</c:v>
                </c:pt>
                <c:pt idx="60">
                  <c:v>0.8459806917768018</c:v>
                </c:pt>
                <c:pt idx="61">
                  <c:v>0.93598069177680188</c:v>
                </c:pt>
                <c:pt idx="62">
                  <c:v>1.0059806917768017</c:v>
                </c:pt>
                <c:pt idx="63">
                  <c:v>1.2059806917768019</c:v>
                </c:pt>
                <c:pt idx="64">
                  <c:v>1.1959806917768017</c:v>
                </c:pt>
                <c:pt idx="65">
                  <c:v>1.2459806917768019</c:v>
                </c:pt>
                <c:pt idx="66">
                  <c:v>1.0119613835536037</c:v>
                </c:pt>
                <c:pt idx="67">
                  <c:v>0.96550223643465771</c:v>
                </c:pt>
                <c:pt idx="68">
                  <c:v>0.94550223643465769</c:v>
                </c:pt>
                <c:pt idx="69">
                  <c:v>0.94550223643465769</c:v>
                </c:pt>
                <c:pt idx="70">
                  <c:v>0.93550223643465769</c:v>
                </c:pt>
                <c:pt idx="71">
                  <c:v>0.88550223643465764</c:v>
                </c:pt>
                <c:pt idx="72">
                  <c:v>0.98550223643465773</c:v>
                </c:pt>
                <c:pt idx="73">
                  <c:v>0.97550223643465772</c:v>
                </c:pt>
                <c:pt idx="74">
                  <c:v>0.85550223643465773</c:v>
                </c:pt>
                <c:pt idx="75">
                  <c:v>0.87550223643465763</c:v>
                </c:pt>
                <c:pt idx="76">
                  <c:v>0.93100447286931542</c:v>
                </c:pt>
                <c:pt idx="77">
                  <c:v>0.77490416725697742</c:v>
                </c:pt>
                <c:pt idx="78">
                  <c:v>0.76490416725697741</c:v>
                </c:pt>
                <c:pt idx="79">
                  <c:v>0.78490416725697743</c:v>
                </c:pt>
                <c:pt idx="80">
                  <c:v>0.79490416725697743</c:v>
                </c:pt>
                <c:pt idx="81">
                  <c:v>0.78490416725697743</c:v>
                </c:pt>
                <c:pt idx="82">
                  <c:v>0.80490416725697744</c:v>
                </c:pt>
                <c:pt idx="83">
                  <c:v>0.80490416725697744</c:v>
                </c:pt>
                <c:pt idx="84">
                  <c:v>0.88490416725697751</c:v>
                </c:pt>
                <c:pt idx="85">
                  <c:v>0.94490416725697757</c:v>
                </c:pt>
                <c:pt idx="86">
                  <c:v>0.93490416725697756</c:v>
                </c:pt>
                <c:pt idx="87">
                  <c:v>0.96466493958590538</c:v>
                </c:pt>
                <c:pt idx="88">
                  <c:v>0.94466493958590547</c:v>
                </c:pt>
                <c:pt idx="89">
                  <c:v>0.85466493958590539</c:v>
                </c:pt>
                <c:pt idx="90">
                  <c:v>0.77466493958590543</c:v>
                </c:pt>
                <c:pt idx="91">
                  <c:v>0.7246649395859055</c:v>
                </c:pt>
                <c:pt idx="92">
                  <c:v>0.67466493958590545</c:v>
                </c:pt>
                <c:pt idx="93">
                  <c:v>0.69466493958590547</c:v>
                </c:pt>
                <c:pt idx="94">
                  <c:v>0.68466493958590546</c:v>
                </c:pt>
                <c:pt idx="95">
                  <c:v>0.7246649395859055</c:v>
                </c:pt>
                <c:pt idx="96">
                  <c:v>0.75466493958590541</c:v>
                </c:pt>
                <c:pt idx="97">
                  <c:v>0.94657876095448201</c:v>
                </c:pt>
                <c:pt idx="98">
                  <c:v>1.226578760954482</c:v>
                </c:pt>
                <c:pt idx="99">
                  <c:v>1.3365787609544819</c:v>
                </c:pt>
                <c:pt idx="100">
                  <c:v>0.88657876095448196</c:v>
                </c:pt>
                <c:pt idx="101">
                  <c:v>0.97657876095448204</c:v>
                </c:pt>
                <c:pt idx="102">
                  <c:v>1.0365787609544821</c:v>
                </c:pt>
                <c:pt idx="103">
                  <c:v>1.0465787609544819</c:v>
                </c:pt>
                <c:pt idx="104">
                  <c:v>1.1165787609544822</c:v>
                </c:pt>
                <c:pt idx="105">
                  <c:v>1.186578760954482</c:v>
                </c:pt>
                <c:pt idx="106">
                  <c:v>1.176578760954482</c:v>
                </c:pt>
                <c:pt idx="107">
                  <c:v>1.0766983747900181</c:v>
                </c:pt>
                <c:pt idx="108">
                  <c:v>1.0666983747900181</c:v>
                </c:pt>
                <c:pt idx="109">
                  <c:v>1.1566983747900181</c:v>
                </c:pt>
                <c:pt idx="110">
                  <c:v>1.1566983747900181</c:v>
                </c:pt>
                <c:pt idx="111">
                  <c:v>1.171698374790018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49888"/>
        <c:axId val="174951424"/>
      </c:lineChart>
      <c:catAx>
        <c:axId val="17494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951424"/>
        <c:crosses val="autoZero"/>
        <c:auto val="1"/>
        <c:lblAlgn val="ctr"/>
        <c:lblOffset val="100"/>
        <c:noMultiLvlLbl val="0"/>
      </c:catAx>
      <c:valAx>
        <c:axId val="17495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949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7628987704044739E-2"/>
          <c:y val="3.7257575028968141E-2"/>
          <c:w val="0.20688329539732878"/>
          <c:h val="0.22692281596024366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96219020378736E-2"/>
          <c:y val="1.6946445004667181E-2"/>
          <c:w val="0.91425745877854492"/>
          <c:h val="0.89823091775155839"/>
        </c:manualLayout>
      </c:layout>
      <c:lineChart>
        <c:grouping val="standard"/>
        <c:varyColors val="0"/>
        <c:ser>
          <c:idx val="0"/>
          <c:order val="0"/>
          <c:tx>
            <c:v>Suiker Gelderblom</c:v>
          </c:tx>
          <c:marker>
            <c:symbol val="none"/>
          </c:marker>
          <c:cat>
            <c:numRef>
              <c:f>'5- Opbrengst'!$A$8:$A$218</c:f>
              <c:numCache>
                <c:formatCode>General</c:formatCode>
                <c:ptCount val="211"/>
                <c:pt idx="0">
                  <c:v>1590</c:v>
                </c:pt>
                <c:pt idx="1">
                  <c:v>1591</c:v>
                </c:pt>
                <c:pt idx="2">
                  <c:v>1592</c:v>
                </c:pt>
                <c:pt idx="3">
                  <c:v>1593</c:v>
                </c:pt>
                <c:pt idx="4">
                  <c:v>1594</c:v>
                </c:pt>
                <c:pt idx="5">
                  <c:v>1595</c:v>
                </c:pt>
                <c:pt idx="6">
                  <c:v>1596</c:v>
                </c:pt>
                <c:pt idx="7">
                  <c:v>1597</c:v>
                </c:pt>
                <c:pt idx="8">
                  <c:v>1598</c:v>
                </c:pt>
                <c:pt idx="9">
                  <c:v>1599</c:v>
                </c:pt>
                <c:pt idx="10">
                  <c:v>1600</c:v>
                </c:pt>
                <c:pt idx="11">
                  <c:v>1601</c:v>
                </c:pt>
                <c:pt idx="12">
                  <c:v>1602</c:v>
                </c:pt>
                <c:pt idx="13">
                  <c:v>1603</c:v>
                </c:pt>
                <c:pt idx="14">
                  <c:v>1604</c:v>
                </c:pt>
                <c:pt idx="15">
                  <c:v>1605</c:v>
                </c:pt>
                <c:pt idx="16">
                  <c:v>1606</c:v>
                </c:pt>
                <c:pt idx="17">
                  <c:v>1607</c:v>
                </c:pt>
                <c:pt idx="18">
                  <c:v>1608</c:v>
                </c:pt>
                <c:pt idx="19">
                  <c:v>1609</c:v>
                </c:pt>
                <c:pt idx="20">
                  <c:v>1610</c:v>
                </c:pt>
                <c:pt idx="21">
                  <c:v>1611</c:v>
                </c:pt>
                <c:pt idx="22">
                  <c:v>1612</c:v>
                </c:pt>
                <c:pt idx="23">
                  <c:v>1613</c:v>
                </c:pt>
                <c:pt idx="24">
                  <c:v>1614</c:v>
                </c:pt>
                <c:pt idx="25">
                  <c:v>1615</c:v>
                </c:pt>
                <c:pt idx="26">
                  <c:v>1616</c:v>
                </c:pt>
                <c:pt idx="27">
                  <c:v>1617</c:v>
                </c:pt>
                <c:pt idx="28">
                  <c:v>1618</c:v>
                </c:pt>
                <c:pt idx="29">
                  <c:v>1619</c:v>
                </c:pt>
                <c:pt idx="30">
                  <c:v>1620</c:v>
                </c:pt>
                <c:pt idx="31">
                  <c:v>1621</c:v>
                </c:pt>
                <c:pt idx="32">
                  <c:v>1622</c:v>
                </c:pt>
                <c:pt idx="33">
                  <c:v>1623</c:v>
                </c:pt>
                <c:pt idx="34">
                  <c:v>1624</c:v>
                </c:pt>
                <c:pt idx="35">
                  <c:v>1625</c:v>
                </c:pt>
                <c:pt idx="36">
                  <c:v>1626</c:v>
                </c:pt>
                <c:pt idx="37">
                  <c:v>1627</c:v>
                </c:pt>
                <c:pt idx="38">
                  <c:v>1628</c:v>
                </c:pt>
                <c:pt idx="39">
                  <c:v>1629</c:v>
                </c:pt>
                <c:pt idx="40">
                  <c:v>1630</c:v>
                </c:pt>
                <c:pt idx="41">
                  <c:v>1631</c:v>
                </c:pt>
                <c:pt idx="42">
                  <c:v>1632</c:v>
                </c:pt>
                <c:pt idx="43">
                  <c:v>1633</c:v>
                </c:pt>
                <c:pt idx="44">
                  <c:v>1634</c:v>
                </c:pt>
                <c:pt idx="45">
                  <c:v>1635</c:v>
                </c:pt>
                <c:pt idx="46">
                  <c:v>1636</c:v>
                </c:pt>
                <c:pt idx="47">
                  <c:v>1637</c:v>
                </c:pt>
                <c:pt idx="48">
                  <c:v>1638</c:v>
                </c:pt>
                <c:pt idx="49">
                  <c:v>1639</c:v>
                </c:pt>
                <c:pt idx="50">
                  <c:v>1640</c:v>
                </c:pt>
                <c:pt idx="51">
                  <c:v>1641</c:v>
                </c:pt>
                <c:pt idx="52">
                  <c:v>1642</c:v>
                </c:pt>
                <c:pt idx="53">
                  <c:v>1643</c:v>
                </c:pt>
                <c:pt idx="54">
                  <c:v>1644</c:v>
                </c:pt>
                <c:pt idx="55">
                  <c:v>1645</c:v>
                </c:pt>
                <c:pt idx="56">
                  <c:v>1646</c:v>
                </c:pt>
                <c:pt idx="57">
                  <c:v>1647</c:v>
                </c:pt>
                <c:pt idx="58">
                  <c:v>1648</c:v>
                </c:pt>
                <c:pt idx="59">
                  <c:v>1649</c:v>
                </c:pt>
                <c:pt idx="60">
                  <c:v>1650</c:v>
                </c:pt>
                <c:pt idx="61">
                  <c:v>1651</c:v>
                </c:pt>
                <c:pt idx="62">
                  <c:v>1652</c:v>
                </c:pt>
                <c:pt idx="63">
                  <c:v>1653</c:v>
                </c:pt>
                <c:pt idx="64">
                  <c:v>1654</c:v>
                </c:pt>
                <c:pt idx="65">
                  <c:v>1655</c:v>
                </c:pt>
                <c:pt idx="66">
                  <c:v>1656</c:v>
                </c:pt>
                <c:pt idx="67">
                  <c:v>1657</c:v>
                </c:pt>
                <c:pt idx="68">
                  <c:v>1658</c:v>
                </c:pt>
                <c:pt idx="69">
                  <c:v>1659</c:v>
                </c:pt>
                <c:pt idx="70">
                  <c:v>1660</c:v>
                </c:pt>
                <c:pt idx="71">
                  <c:v>1661</c:v>
                </c:pt>
                <c:pt idx="72">
                  <c:v>1662</c:v>
                </c:pt>
                <c:pt idx="73">
                  <c:v>1663</c:v>
                </c:pt>
                <c:pt idx="74">
                  <c:v>1664</c:v>
                </c:pt>
                <c:pt idx="75">
                  <c:v>1665</c:v>
                </c:pt>
                <c:pt idx="76">
                  <c:v>1666</c:v>
                </c:pt>
                <c:pt idx="77">
                  <c:v>1667</c:v>
                </c:pt>
                <c:pt idx="78">
                  <c:v>1668</c:v>
                </c:pt>
                <c:pt idx="79">
                  <c:v>1669</c:v>
                </c:pt>
                <c:pt idx="80">
                  <c:v>1670</c:v>
                </c:pt>
                <c:pt idx="81">
                  <c:v>1671</c:v>
                </c:pt>
                <c:pt idx="82">
                  <c:v>1672</c:v>
                </c:pt>
                <c:pt idx="83">
                  <c:v>1673</c:v>
                </c:pt>
                <c:pt idx="84">
                  <c:v>1674</c:v>
                </c:pt>
                <c:pt idx="85">
                  <c:v>1675</c:v>
                </c:pt>
                <c:pt idx="86">
                  <c:v>1676</c:v>
                </c:pt>
                <c:pt idx="87">
                  <c:v>1677</c:v>
                </c:pt>
                <c:pt idx="88">
                  <c:v>1678</c:v>
                </c:pt>
                <c:pt idx="89">
                  <c:v>1679</c:v>
                </c:pt>
                <c:pt idx="90">
                  <c:v>1680</c:v>
                </c:pt>
                <c:pt idx="91">
                  <c:v>1681</c:v>
                </c:pt>
                <c:pt idx="92">
                  <c:v>1682</c:v>
                </c:pt>
                <c:pt idx="93">
                  <c:v>1683</c:v>
                </c:pt>
                <c:pt idx="94">
                  <c:v>1684</c:v>
                </c:pt>
                <c:pt idx="95">
                  <c:v>1685</c:v>
                </c:pt>
                <c:pt idx="96">
                  <c:v>1686</c:v>
                </c:pt>
                <c:pt idx="97">
                  <c:v>1687</c:v>
                </c:pt>
                <c:pt idx="98">
                  <c:v>1688</c:v>
                </c:pt>
                <c:pt idx="99">
                  <c:v>1689</c:v>
                </c:pt>
                <c:pt idx="100">
                  <c:v>1690</c:v>
                </c:pt>
                <c:pt idx="101">
                  <c:v>1691</c:v>
                </c:pt>
                <c:pt idx="102">
                  <c:v>1692</c:v>
                </c:pt>
                <c:pt idx="103">
                  <c:v>1693</c:v>
                </c:pt>
                <c:pt idx="104">
                  <c:v>1694</c:v>
                </c:pt>
                <c:pt idx="105">
                  <c:v>1695</c:v>
                </c:pt>
                <c:pt idx="106">
                  <c:v>1696</c:v>
                </c:pt>
                <c:pt idx="107">
                  <c:v>1697</c:v>
                </c:pt>
                <c:pt idx="108">
                  <c:v>1698</c:v>
                </c:pt>
                <c:pt idx="109">
                  <c:v>1699</c:v>
                </c:pt>
                <c:pt idx="110">
                  <c:v>1700</c:v>
                </c:pt>
                <c:pt idx="111">
                  <c:v>1701</c:v>
                </c:pt>
                <c:pt idx="112">
                  <c:v>1702</c:v>
                </c:pt>
                <c:pt idx="113">
                  <c:v>1703</c:v>
                </c:pt>
                <c:pt idx="114">
                  <c:v>1704</c:v>
                </c:pt>
                <c:pt idx="115">
                  <c:v>1705</c:v>
                </c:pt>
                <c:pt idx="116">
                  <c:v>1706</c:v>
                </c:pt>
                <c:pt idx="117">
                  <c:v>1707</c:v>
                </c:pt>
                <c:pt idx="118">
                  <c:v>1708</c:v>
                </c:pt>
                <c:pt idx="119">
                  <c:v>1709</c:v>
                </c:pt>
                <c:pt idx="120">
                  <c:v>1710</c:v>
                </c:pt>
                <c:pt idx="121">
                  <c:v>1711</c:v>
                </c:pt>
                <c:pt idx="122">
                  <c:v>1712</c:v>
                </c:pt>
                <c:pt idx="123">
                  <c:v>1713</c:v>
                </c:pt>
                <c:pt idx="124">
                  <c:v>1714</c:v>
                </c:pt>
                <c:pt idx="125">
                  <c:v>1715</c:v>
                </c:pt>
                <c:pt idx="126">
                  <c:v>1716</c:v>
                </c:pt>
                <c:pt idx="127">
                  <c:v>1717</c:v>
                </c:pt>
                <c:pt idx="128">
                  <c:v>1718</c:v>
                </c:pt>
                <c:pt idx="129">
                  <c:v>1719</c:v>
                </c:pt>
                <c:pt idx="130">
                  <c:v>1720</c:v>
                </c:pt>
                <c:pt idx="131">
                  <c:v>1721</c:v>
                </c:pt>
                <c:pt idx="132">
                  <c:v>1722</c:v>
                </c:pt>
                <c:pt idx="133">
                  <c:v>1723</c:v>
                </c:pt>
                <c:pt idx="134">
                  <c:v>1724</c:v>
                </c:pt>
                <c:pt idx="135">
                  <c:v>1725</c:v>
                </c:pt>
                <c:pt idx="136">
                  <c:v>1726</c:v>
                </c:pt>
                <c:pt idx="137">
                  <c:v>1727</c:v>
                </c:pt>
                <c:pt idx="138">
                  <c:v>1728</c:v>
                </c:pt>
                <c:pt idx="139">
                  <c:v>1729</c:v>
                </c:pt>
                <c:pt idx="140">
                  <c:v>1730</c:v>
                </c:pt>
                <c:pt idx="141">
                  <c:v>1731</c:v>
                </c:pt>
                <c:pt idx="142">
                  <c:v>1732</c:v>
                </c:pt>
                <c:pt idx="143">
                  <c:v>1733</c:v>
                </c:pt>
                <c:pt idx="144">
                  <c:v>1734</c:v>
                </c:pt>
                <c:pt idx="145">
                  <c:v>1735</c:v>
                </c:pt>
                <c:pt idx="146">
                  <c:v>1736</c:v>
                </c:pt>
                <c:pt idx="147">
                  <c:v>1737</c:v>
                </c:pt>
                <c:pt idx="148">
                  <c:v>1738</c:v>
                </c:pt>
                <c:pt idx="149">
                  <c:v>1739</c:v>
                </c:pt>
                <c:pt idx="150">
                  <c:v>1740</c:v>
                </c:pt>
                <c:pt idx="151">
                  <c:v>1741</c:v>
                </c:pt>
                <c:pt idx="152">
                  <c:v>1742</c:v>
                </c:pt>
                <c:pt idx="153">
                  <c:v>1743</c:v>
                </c:pt>
                <c:pt idx="154">
                  <c:v>1744</c:v>
                </c:pt>
                <c:pt idx="155">
                  <c:v>1745</c:v>
                </c:pt>
                <c:pt idx="156">
                  <c:v>1746</c:v>
                </c:pt>
                <c:pt idx="157">
                  <c:v>1747</c:v>
                </c:pt>
                <c:pt idx="158">
                  <c:v>1748</c:v>
                </c:pt>
                <c:pt idx="159">
                  <c:v>1749</c:v>
                </c:pt>
                <c:pt idx="160">
                  <c:v>1750</c:v>
                </c:pt>
                <c:pt idx="161">
                  <c:v>1751</c:v>
                </c:pt>
                <c:pt idx="162">
                  <c:v>1752</c:v>
                </c:pt>
                <c:pt idx="163">
                  <c:v>1753</c:v>
                </c:pt>
                <c:pt idx="164">
                  <c:v>1754</c:v>
                </c:pt>
                <c:pt idx="165">
                  <c:v>1755</c:v>
                </c:pt>
                <c:pt idx="166">
                  <c:v>1756</c:v>
                </c:pt>
                <c:pt idx="167">
                  <c:v>1757</c:v>
                </c:pt>
                <c:pt idx="168">
                  <c:v>1758</c:v>
                </c:pt>
                <c:pt idx="169">
                  <c:v>1759</c:v>
                </c:pt>
                <c:pt idx="170">
                  <c:v>1760</c:v>
                </c:pt>
                <c:pt idx="171">
                  <c:v>1761</c:v>
                </c:pt>
                <c:pt idx="172">
                  <c:v>1762</c:v>
                </c:pt>
                <c:pt idx="173">
                  <c:v>1763</c:v>
                </c:pt>
                <c:pt idx="174">
                  <c:v>1764</c:v>
                </c:pt>
                <c:pt idx="175">
                  <c:v>1765</c:v>
                </c:pt>
                <c:pt idx="176">
                  <c:v>1766</c:v>
                </c:pt>
                <c:pt idx="177">
                  <c:v>1767</c:v>
                </c:pt>
                <c:pt idx="178">
                  <c:v>1768</c:v>
                </c:pt>
                <c:pt idx="179">
                  <c:v>1769</c:v>
                </c:pt>
                <c:pt idx="180">
                  <c:v>1770</c:v>
                </c:pt>
                <c:pt idx="181">
                  <c:v>1771</c:v>
                </c:pt>
                <c:pt idx="182">
                  <c:v>1772</c:v>
                </c:pt>
                <c:pt idx="183">
                  <c:v>1773</c:v>
                </c:pt>
                <c:pt idx="184">
                  <c:v>1774</c:v>
                </c:pt>
                <c:pt idx="185">
                  <c:v>1775</c:v>
                </c:pt>
                <c:pt idx="186">
                  <c:v>1776</c:v>
                </c:pt>
                <c:pt idx="187">
                  <c:v>1777</c:v>
                </c:pt>
                <c:pt idx="188">
                  <c:v>1778</c:v>
                </c:pt>
                <c:pt idx="189">
                  <c:v>1779</c:v>
                </c:pt>
                <c:pt idx="190">
                  <c:v>1780</c:v>
                </c:pt>
                <c:pt idx="191">
                  <c:v>1781</c:v>
                </c:pt>
                <c:pt idx="192">
                  <c:v>1782</c:v>
                </c:pt>
                <c:pt idx="193">
                  <c:v>1783</c:v>
                </c:pt>
                <c:pt idx="194">
                  <c:v>1784</c:v>
                </c:pt>
                <c:pt idx="195">
                  <c:v>1785</c:v>
                </c:pt>
                <c:pt idx="196">
                  <c:v>1786</c:v>
                </c:pt>
                <c:pt idx="197">
                  <c:v>1787</c:v>
                </c:pt>
                <c:pt idx="198">
                  <c:v>1788</c:v>
                </c:pt>
                <c:pt idx="199">
                  <c:v>1789</c:v>
                </c:pt>
                <c:pt idx="200">
                  <c:v>1790</c:v>
                </c:pt>
                <c:pt idx="201">
                  <c:v>1791</c:v>
                </c:pt>
                <c:pt idx="202">
                  <c:v>1792</c:v>
                </c:pt>
                <c:pt idx="203">
                  <c:v>1793</c:v>
                </c:pt>
                <c:pt idx="204">
                  <c:v>1794</c:v>
                </c:pt>
                <c:pt idx="205">
                  <c:v>1795</c:v>
                </c:pt>
                <c:pt idx="206">
                  <c:v>1796</c:v>
                </c:pt>
                <c:pt idx="207">
                  <c:v>1797</c:v>
                </c:pt>
                <c:pt idx="208">
                  <c:v>1798</c:v>
                </c:pt>
                <c:pt idx="209">
                  <c:v>1799</c:v>
                </c:pt>
                <c:pt idx="210">
                  <c:v>1800</c:v>
                </c:pt>
              </c:numCache>
            </c:numRef>
          </c:cat>
          <c:val>
            <c:numRef>
              <c:f>'5- Opbrengst'!$V$8:$V$218</c:f>
              <c:numCache>
                <c:formatCode>#,##0</c:formatCode>
                <c:ptCount val="211"/>
                <c:pt idx="0">
                  <c:v>220139.90480302286</c:v>
                </c:pt>
                <c:pt idx="1">
                  <c:v>260210.13033804495</c:v>
                </c:pt>
                <c:pt idx="2">
                  <c:v>300294.13688786968</c:v>
                </c:pt>
                <c:pt idx="3">
                  <c:v>340391.92445249704</c:v>
                </c:pt>
                <c:pt idx="4">
                  <c:v>380503.49303192727</c:v>
                </c:pt>
                <c:pt idx="5">
                  <c:v>420628.84262616007</c:v>
                </c:pt>
                <c:pt idx="6">
                  <c:v>460767.97323519568</c:v>
                </c:pt>
                <c:pt idx="7">
                  <c:v>500920.8848590338</c:v>
                </c:pt>
                <c:pt idx="8">
                  <c:v>500920.8848590338</c:v>
                </c:pt>
                <c:pt idx="9">
                  <c:v>500519.70398053504</c:v>
                </c:pt>
                <c:pt idx="10">
                  <c:v>499778.59005145833</c:v>
                </c:pt>
                <c:pt idx="11">
                  <c:v>498874.3980763281</c:v>
                </c:pt>
                <c:pt idx="12">
                  <c:v>497983.98305966967</c:v>
                </c:pt>
                <c:pt idx="13">
                  <c:v>497284.20000600768</c:v>
                </c:pt>
                <c:pt idx="14">
                  <c:v>496951.90391986707</c:v>
                </c:pt>
                <c:pt idx="15">
                  <c:v>497163.94980577281</c:v>
                </c:pt>
                <c:pt idx="16">
                  <c:v>612893.03004101035</c:v>
                </c:pt>
                <c:pt idx="17">
                  <c:v>730364.27472430293</c:v>
                </c:pt>
                <c:pt idx="18">
                  <c:v>850497.73626820301</c:v>
                </c:pt>
                <c:pt idx="19">
                  <c:v>974376.50529255811</c:v>
                </c:pt>
                <c:pt idx="20">
                  <c:v>1323411.0285047921</c:v>
                </c:pt>
                <c:pt idx="21">
                  <c:v>1481925.3456377608</c:v>
                </c:pt>
                <c:pt idx="22">
                  <c:v>1642213.1952093621</c:v>
                </c:pt>
                <c:pt idx="23">
                  <c:v>1800642.2098373773</c:v>
                </c:pt>
                <c:pt idx="24">
                  <c:v>1952529.2172979815</c:v>
                </c:pt>
                <c:pt idx="25">
                  <c:v>2092140.2405257453</c:v>
                </c:pt>
                <c:pt idx="26">
                  <c:v>2212690.4976136363</c:v>
                </c:pt>
                <c:pt idx="27">
                  <c:v>2306344.4018130139</c:v>
                </c:pt>
                <c:pt idx="28">
                  <c:v>3697697.8479509447</c:v>
                </c:pt>
                <c:pt idx="29">
                  <c:v>3514035.9043898727</c:v>
                </c:pt>
                <c:pt idx="30">
                  <c:v>3281589.7142913262</c:v>
                </c:pt>
                <c:pt idx="31">
                  <c:v>3051945.8380992343</c:v>
                </c:pt>
                <c:pt idx="32">
                  <c:v>1444216.4842352611</c:v>
                </c:pt>
                <c:pt idx="33">
                  <c:v>1474762.895665427</c:v>
                </c:pt>
                <c:pt idx="34">
                  <c:v>1606994.6770831693</c:v>
                </c:pt>
                <c:pt idx="35">
                  <c:v>1849232.9332712446</c:v>
                </c:pt>
                <c:pt idx="36">
                  <c:v>2077303.7300896028</c:v>
                </c:pt>
                <c:pt idx="37">
                  <c:v>2225322.6606449732</c:v>
                </c:pt>
                <c:pt idx="38">
                  <c:v>2418081.7260014345</c:v>
                </c:pt>
                <c:pt idx="39">
                  <c:v>2765411.5008105021</c:v>
                </c:pt>
                <c:pt idx="40">
                  <c:v>3076362.6060027876</c:v>
                </c:pt>
                <c:pt idx="41">
                  <c:v>3186919.3871563743</c:v>
                </c:pt>
                <c:pt idx="42">
                  <c:v>3223030.4302112949</c:v>
                </c:pt>
                <c:pt idx="43">
                  <c:v>3125522.6247933991</c:v>
                </c:pt>
                <c:pt idx="44">
                  <c:v>3037521.9302689075</c:v>
                </c:pt>
                <c:pt idx="45">
                  <c:v>3058553.4171791668</c:v>
                </c:pt>
                <c:pt idx="46">
                  <c:v>2325770.4960021079</c:v>
                </c:pt>
                <c:pt idx="47">
                  <c:v>2395593.0439983141</c:v>
                </c:pt>
                <c:pt idx="48">
                  <c:v>4751074.9880020861</c:v>
                </c:pt>
                <c:pt idx="49">
                  <c:v>5815368.4972142717</c:v>
                </c:pt>
                <c:pt idx="50">
                  <c:v>4759302.8559993394</c:v>
                </c:pt>
                <c:pt idx="51">
                  <c:v>6874219.0950004645</c:v>
                </c:pt>
                <c:pt idx="52">
                  <c:v>4381850.8960001897</c:v>
                </c:pt>
                <c:pt idx="53">
                  <c:v>3287569.6279995879</c:v>
                </c:pt>
                <c:pt idx="54">
                  <c:v>2617500.7236314751</c:v>
                </c:pt>
                <c:pt idx="55">
                  <c:v>3736735.5140013965</c:v>
                </c:pt>
                <c:pt idx="56">
                  <c:v>3182026.0212544296</c:v>
                </c:pt>
                <c:pt idx="57">
                  <c:v>3108484.4044761732</c:v>
                </c:pt>
                <c:pt idx="58">
                  <c:v>2801591.7886266597</c:v>
                </c:pt>
                <c:pt idx="59">
                  <c:v>3159876.0507078408</c:v>
                </c:pt>
                <c:pt idx="60">
                  <c:v>3155801.574612821</c:v>
                </c:pt>
                <c:pt idx="61">
                  <c:v>3775691.1696241456</c:v>
                </c:pt>
                <c:pt idx="62">
                  <c:v>3891472.2014211835</c:v>
                </c:pt>
                <c:pt idx="63">
                  <c:v>4095882.0761400545</c:v>
                </c:pt>
                <c:pt idx="64">
                  <c:v>4561567.7305752775</c:v>
                </c:pt>
                <c:pt idx="65">
                  <c:v>4957342.3266643239</c:v>
                </c:pt>
                <c:pt idx="66">
                  <c:v>5196643.833901207</c:v>
                </c:pt>
                <c:pt idx="67">
                  <c:v>5288243.6766267903</c:v>
                </c:pt>
                <c:pt idx="68">
                  <c:v>5250291.8290033778</c:v>
                </c:pt>
                <c:pt idx="69">
                  <c:v>5110316.8150147134</c:v>
                </c:pt>
                <c:pt idx="70">
                  <c:v>4905225.7084659841</c:v>
                </c:pt>
                <c:pt idx="71">
                  <c:v>4953760.987284462</c:v>
                </c:pt>
                <c:pt idx="72">
                  <c:v>4539612.3858750369</c:v>
                </c:pt>
                <c:pt idx="73">
                  <c:v>4259908.037519712</c:v>
                </c:pt>
                <c:pt idx="74">
                  <c:v>4166750.9967820505</c:v>
                </c:pt>
                <c:pt idx="75">
                  <c:v>4246442.9557367349</c:v>
                </c:pt>
                <c:pt idx="76">
                  <c:v>4008155.1206437787</c:v>
                </c:pt>
                <c:pt idx="77">
                  <c:v>3665987.8138257111</c:v>
                </c:pt>
                <c:pt idx="78">
                  <c:v>3233174.9382414701</c:v>
                </c:pt>
                <c:pt idx="79">
                  <c:v>2843611.487785554</c:v>
                </c:pt>
                <c:pt idx="80">
                  <c:v>2425320.4989717151</c:v>
                </c:pt>
                <c:pt idx="81">
                  <c:v>2217657.4222699413</c:v>
                </c:pt>
                <c:pt idx="82">
                  <c:v>2297663.1865571896</c:v>
                </c:pt>
                <c:pt idx="83">
                  <c:v>2191497.0785232447</c:v>
                </c:pt>
                <c:pt idx="84">
                  <c:v>1958527.1952945623</c:v>
                </c:pt>
                <c:pt idx="85">
                  <c:v>1781674.7805211996</c:v>
                </c:pt>
                <c:pt idx="86">
                  <c:v>1699472.378903199</c:v>
                </c:pt>
                <c:pt idx="87">
                  <c:v>1610952.5164366034</c:v>
                </c:pt>
                <c:pt idx="88">
                  <c:v>1528188.2750895564</c:v>
                </c:pt>
                <c:pt idx="89">
                  <c:v>1452865.1740495751</c:v>
                </c:pt>
                <c:pt idx="90">
                  <c:v>1374849.3917549946</c:v>
                </c:pt>
                <c:pt idx="91">
                  <c:v>1287487.6085611889</c:v>
                </c:pt>
                <c:pt idx="92">
                  <c:v>1244712.5017709082</c:v>
                </c:pt>
                <c:pt idx="93">
                  <c:v>687367.36250000377</c:v>
                </c:pt>
                <c:pt idx="94">
                  <c:v>1152324.8968679139</c:v>
                </c:pt>
                <c:pt idx="95">
                  <c:v>706424.86634215701</c:v>
                </c:pt>
                <c:pt idx="96">
                  <c:v>690785.55074997491</c:v>
                </c:pt>
                <c:pt idx="97">
                  <c:v>1028962.1946417345</c:v>
                </c:pt>
                <c:pt idx="98">
                  <c:v>1373444.927100129</c:v>
                </c:pt>
                <c:pt idx="99">
                  <c:v>1359517.6699999254</c:v>
                </c:pt>
                <c:pt idx="100">
                  <c:v>1051559.8594225822</c:v>
                </c:pt>
                <c:pt idx="101">
                  <c:v>1403194.3093999852</c:v>
                </c:pt>
                <c:pt idx="102">
                  <c:v>1019144.6255478628</c:v>
                </c:pt>
                <c:pt idx="103">
                  <c:v>1226418.1869072006</c:v>
                </c:pt>
                <c:pt idx="104">
                  <c:v>2773271.0249999911</c:v>
                </c:pt>
                <c:pt idx="105">
                  <c:v>3616531.1249999888</c:v>
                </c:pt>
                <c:pt idx="106">
                  <c:v>2151655.499999993</c:v>
                </c:pt>
                <c:pt idx="107">
                  <c:v>3196555.4999999898</c:v>
                </c:pt>
                <c:pt idx="108">
                  <c:v>1470022.7249999957</c:v>
                </c:pt>
                <c:pt idx="109">
                  <c:v>2180066.1374999927</c:v>
                </c:pt>
                <c:pt idx="110">
                  <c:v>2125634.2649999936</c:v>
                </c:pt>
              </c:numCache>
            </c:numRef>
          </c:val>
          <c:smooth val="0"/>
        </c:ser>
        <c:ser>
          <c:idx val="1"/>
          <c:order val="1"/>
          <c:tx>
            <c:v>Suiker Laag Varia</c:v>
          </c:tx>
          <c:marker>
            <c:symbol val="none"/>
          </c:marker>
          <c:cat>
            <c:numRef>
              <c:f>'5- Opbrengst'!$A$8:$A$218</c:f>
              <c:numCache>
                <c:formatCode>General</c:formatCode>
                <c:ptCount val="211"/>
                <c:pt idx="0">
                  <c:v>1590</c:v>
                </c:pt>
                <c:pt idx="1">
                  <c:v>1591</c:v>
                </c:pt>
                <c:pt idx="2">
                  <c:v>1592</c:v>
                </c:pt>
                <c:pt idx="3">
                  <c:v>1593</c:v>
                </c:pt>
                <c:pt idx="4">
                  <c:v>1594</c:v>
                </c:pt>
                <c:pt idx="5">
                  <c:v>1595</c:v>
                </c:pt>
                <c:pt idx="6">
                  <c:v>1596</c:v>
                </c:pt>
                <c:pt idx="7">
                  <c:v>1597</c:v>
                </c:pt>
                <c:pt idx="8">
                  <c:v>1598</c:v>
                </c:pt>
                <c:pt idx="9">
                  <c:v>1599</c:v>
                </c:pt>
                <c:pt idx="10">
                  <c:v>1600</c:v>
                </c:pt>
                <c:pt idx="11">
                  <c:v>1601</c:v>
                </c:pt>
                <c:pt idx="12">
                  <c:v>1602</c:v>
                </c:pt>
                <c:pt idx="13">
                  <c:v>1603</c:v>
                </c:pt>
                <c:pt idx="14">
                  <c:v>1604</c:v>
                </c:pt>
                <c:pt idx="15">
                  <c:v>1605</c:v>
                </c:pt>
                <c:pt idx="16">
                  <c:v>1606</c:v>
                </c:pt>
                <c:pt idx="17">
                  <c:v>1607</c:v>
                </c:pt>
                <c:pt idx="18">
                  <c:v>1608</c:v>
                </c:pt>
                <c:pt idx="19">
                  <c:v>1609</c:v>
                </c:pt>
                <c:pt idx="20">
                  <c:v>1610</c:v>
                </c:pt>
                <c:pt idx="21">
                  <c:v>1611</c:v>
                </c:pt>
                <c:pt idx="22">
                  <c:v>1612</c:v>
                </c:pt>
                <c:pt idx="23">
                  <c:v>1613</c:v>
                </c:pt>
                <c:pt idx="24">
                  <c:v>1614</c:v>
                </c:pt>
                <c:pt idx="25">
                  <c:v>1615</c:v>
                </c:pt>
                <c:pt idx="26">
                  <c:v>1616</c:v>
                </c:pt>
                <c:pt idx="27">
                  <c:v>1617</c:v>
                </c:pt>
                <c:pt idx="28">
                  <c:v>1618</c:v>
                </c:pt>
                <c:pt idx="29">
                  <c:v>1619</c:v>
                </c:pt>
                <c:pt idx="30">
                  <c:v>1620</c:v>
                </c:pt>
                <c:pt idx="31">
                  <c:v>1621</c:v>
                </c:pt>
                <c:pt idx="32">
                  <c:v>1622</c:v>
                </c:pt>
                <c:pt idx="33">
                  <c:v>1623</c:v>
                </c:pt>
                <c:pt idx="34">
                  <c:v>1624</c:v>
                </c:pt>
                <c:pt idx="35">
                  <c:v>1625</c:v>
                </c:pt>
                <c:pt idx="36">
                  <c:v>1626</c:v>
                </c:pt>
                <c:pt idx="37">
                  <c:v>1627</c:v>
                </c:pt>
                <c:pt idx="38">
                  <c:v>1628</c:v>
                </c:pt>
                <c:pt idx="39">
                  <c:v>1629</c:v>
                </c:pt>
                <c:pt idx="40">
                  <c:v>1630</c:v>
                </c:pt>
                <c:pt idx="41">
                  <c:v>1631</c:v>
                </c:pt>
                <c:pt idx="42">
                  <c:v>1632</c:v>
                </c:pt>
                <c:pt idx="43">
                  <c:v>1633</c:v>
                </c:pt>
                <c:pt idx="44">
                  <c:v>1634</c:v>
                </c:pt>
                <c:pt idx="45">
                  <c:v>1635</c:v>
                </c:pt>
                <c:pt idx="46">
                  <c:v>1636</c:v>
                </c:pt>
                <c:pt idx="47">
                  <c:v>1637</c:v>
                </c:pt>
                <c:pt idx="48">
                  <c:v>1638</c:v>
                </c:pt>
                <c:pt idx="49">
                  <c:v>1639</c:v>
                </c:pt>
                <c:pt idx="50">
                  <c:v>1640</c:v>
                </c:pt>
                <c:pt idx="51">
                  <c:v>1641</c:v>
                </c:pt>
                <c:pt idx="52">
                  <c:v>1642</c:v>
                </c:pt>
                <c:pt idx="53">
                  <c:v>1643</c:v>
                </c:pt>
                <c:pt idx="54">
                  <c:v>1644</c:v>
                </c:pt>
                <c:pt idx="55">
                  <c:v>1645</c:v>
                </c:pt>
                <c:pt idx="56">
                  <c:v>1646</c:v>
                </c:pt>
                <c:pt idx="57">
                  <c:v>1647</c:v>
                </c:pt>
                <c:pt idx="58">
                  <c:v>1648</c:v>
                </c:pt>
                <c:pt idx="59">
                  <c:v>1649</c:v>
                </c:pt>
                <c:pt idx="60">
                  <c:v>1650</c:v>
                </c:pt>
                <c:pt idx="61">
                  <c:v>1651</c:v>
                </c:pt>
                <c:pt idx="62">
                  <c:v>1652</c:v>
                </c:pt>
                <c:pt idx="63">
                  <c:v>1653</c:v>
                </c:pt>
                <c:pt idx="64">
                  <c:v>1654</c:v>
                </c:pt>
                <c:pt idx="65">
                  <c:v>1655</c:v>
                </c:pt>
                <c:pt idx="66">
                  <c:v>1656</c:v>
                </c:pt>
                <c:pt idx="67">
                  <c:v>1657</c:v>
                </c:pt>
                <c:pt idx="68">
                  <c:v>1658</c:v>
                </c:pt>
                <c:pt idx="69">
                  <c:v>1659</c:v>
                </c:pt>
                <c:pt idx="70">
                  <c:v>1660</c:v>
                </c:pt>
                <c:pt idx="71">
                  <c:v>1661</c:v>
                </c:pt>
                <c:pt idx="72">
                  <c:v>1662</c:v>
                </c:pt>
                <c:pt idx="73">
                  <c:v>1663</c:v>
                </c:pt>
                <c:pt idx="74">
                  <c:v>1664</c:v>
                </c:pt>
                <c:pt idx="75">
                  <c:v>1665</c:v>
                </c:pt>
                <c:pt idx="76">
                  <c:v>1666</c:v>
                </c:pt>
                <c:pt idx="77">
                  <c:v>1667</c:v>
                </c:pt>
                <c:pt idx="78">
                  <c:v>1668</c:v>
                </c:pt>
                <c:pt idx="79">
                  <c:v>1669</c:v>
                </c:pt>
                <c:pt idx="80">
                  <c:v>1670</c:v>
                </c:pt>
                <c:pt idx="81">
                  <c:v>1671</c:v>
                </c:pt>
                <c:pt idx="82">
                  <c:v>1672</c:v>
                </c:pt>
                <c:pt idx="83">
                  <c:v>1673</c:v>
                </c:pt>
                <c:pt idx="84">
                  <c:v>1674</c:v>
                </c:pt>
                <c:pt idx="85">
                  <c:v>1675</c:v>
                </c:pt>
                <c:pt idx="86">
                  <c:v>1676</c:v>
                </c:pt>
                <c:pt idx="87">
                  <c:v>1677</c:v>
                </c:pt>
                <c:pt idx="88">
                  <c:v>1678</c:v>
                </c:pt>
                <c:pt idx="89">
                  <c:v>1679</c:v>
                </c:pt>
                <c:pt idx="90">
                  <c:v>1680</c:v>
                </c:pt>
                <c:pt idx="91">
                  <c:v>1681</c:v>
                </c:pt>
                <c:pt idx="92">
                  <c:v>1682</c:v>
                </c:pt>
                <c:pt idx="93">
                  <c:v>1683</c:v>
                </c:pt>
                <c:pt idx="94">
                  <c:v>1684</c:v>
                </c:pt>
                <c:pt idx="95">
                  <c:v>1685</c:v>
                </c:pt>
                <c:pt idx="96">
                  <c:v>1686</c:v>
                </c:pt>
                <c:pt idx="97">
                  <c:v>1687</c:v>
                </c:pt>
                <c:pt idx="98">
                  <c:v>1688</c:v>
                </c:pt>
                <c:pt idx="99">
                  <c:v>1689</c:v>
                </c:pt>
                <c:pt idx="100">
                  <c:v>1690</c:v>
                </c:pt>
                <c:pt idx="101">
                  <c:v>1691</c:v>
                </c:pt>
                <c:pt idx="102">
                  <c:v>1692</c:v>
                </c:pt>
                <c:pt idx="103">
                  <c:v>1693</c:v>
                </c:pt>
                <c:pt idx="104">
                  <c:v>1694</c:v>
                </c:pt>
                <c:pt idx="105">
                  <c:v>1695</c:v>
                </c:pt>
                <c:pt idx="106">
                  <c:v>1696</c:v>
                </c:pt>
                <c:pt idx="107">
                  <c:v>1697</c:v>
                </c:pt>
                <c:pt idx="108">
                  <c:v>1698</c:v>
                </c:pt>
                <c:pt idx="109">
                  <c:v>1699</c:v>
                </c:pt>
                <c:pt idx="110">
                  <c:v>1700</c:v>
                </c:pt>
                <c:pt idx="111">
                  <c:v>1701</c:v>
                </c:pt>
                <c:pt idx="112">
                  <c:v>1702</c:v>
                </c:pt>
                <c:pt idx="113">
                  <c:v>1703</c:v>
                </c:pt>
                <c:pt idx="114">
                  <c:v>1704</c:v>
                </c:pt>
                <c:pt idx="115">
                  <c:v>1705</c:v>
                </c:pt>
                <c:pt idx="116">
                  <c:v>1706</c:v>
                </c:pt>
                <c:pt idx="117">
                  <c:v>1707</c:v>
                </c:pt>
                <c:pt idx="118">
                  <c:v>1708</c:v>
                </c:pt>
                <c:pt idx="119">
                  <c:v>1709</c:v>
                </c:pt>
                <c:pt idx="120">
                  <c:v>1710</c:v>
                </c:pt>
                <c:pt idx="121">
                  <c:v>1711</c:v>
                </c:pt>
                <c:pt idx="122">
                  <c:v>1712</c:v>
                </c:pt>
                <c:pt idx="123">
                  <c:v>1713</c:v>
                </c:pt>
                <c:pt idx="124">
                  <c:v>1714</c:v>
                </c:pt>
                <c:pt idx="125">
                  <c:v>1715</c:v>
                </c:pt>
                <c:pt idx="126">
                  <c:v>1716</c:v>
                </c:pt>
                <c:pt idx="127">
                  <c:v>1717</c:v>
                </c:pt>
                <c:pt idx="128">
                  <c:v>1718</c:v>
                </c:pt>
                <c:pt idx="129">
                  <c:v>1719</c:v>
                </c:pt>
                <c:pt idx="130">
                  <c:v>1720</c:v>
                </c:pt>
                <c:pt idx="131">
                  <c:v>1721</c:v>
                </c:pt>
                <c:pt idx="132">
                  <c:v>1722</c:v>
                </c:pt>
                <c:pt idx="133">
                  <c:v>1723</c:v>
                </c:pt>
                <c:pt idx="134">
                  <c:v>1724</c:v>
                </c:pt>
                <c:pt idx="135">
                  <c:v>1725</c:v>
                </c:pt>
                <c:pt idx="136">
                  <c:v>1726</c:v>
                </c:pt>
                <c:pt idx="137">
                  <c:v>1727</c:v>
                </c:pt>
                <c:pt idx="138">
                  <c:v>1728</c:v>
                </c:pt>
                <c:pt idx="139">
                  <c:v>1729</c:v>
                </c:pt>
                <c:pt idx="140">
                  <c:v>1730</c:v>
                </c:pt>
                <c:pt idx="141">
                  <c:v>1731</c:v>
                </c:pt>
                <c:pt idx="142">
                  <c:v>1732</c:v>
                </c:pt>
                <c:pt idx="143">
                  <c:v>1733</c:v>
                </c:pt>
                <c:pt idx="144">
                  <c:v>1734</c:v>
                </c:pt>
                <c:pt idx="145">
                  <c:v>1735</c:v>
                </c:pt>
                <c:pt idx="146">
                  <c:v>1736</c:v>
                </c:pt>
                <c:pt idx="147">
                  <c:v>1737</c:v>
                </c:pt>
                <c:pt idx="148">
                  <c:v>1738</c:v>
                </c:pt>
                <c:pt idx="149">
                  <c:v>1739</c:v>
                </c:pt>
                <c:pt idx="150">
                  <c:v>1740</c:v>
                </c:pt>
                <c:pt idx="151">
                  <c:v>1741</c:v>
                </c:pt>
                <c:pt idx="152">
                  <c:v>1742</c:v>
                </c:pt>
                <c:pt idx="153">
                  <c:v>1743</c:v>
                </c:pt>
                <c:pt idx="154">
                  <c:v>1744</c:v>
                </c:pt>
                <c:pt idx="155">
                  <c:v>1745</c:v>
                </c:pt>
                <c:pt idx="156">
                  <c:v>1746</c:v>
                </c:pt>
                <c:pt idx="157">
                  <c:v>1747</c:v>
                </c:pt>
                <c:pt idx="158">
                  <c:v>1748</c:v>
                </c:pt>
                <c:pt idx="159">
                  <c:v>1749</c:v>
                </c:pt>
                <c:pt idx="160">
                  <c:v>1750</c:v>
                </c:pt>
                <c:pt idx="161">
                  <c:v>1751</c:v>
                </c:pt>
                <c:pt idx="162">
                  <c:v>1752</c:v>
                </c:pt>
                <c:pt idx="163">
                  <c:v>1753</c:v>
                </c:pt>
                <c:pt idx="164">
                  <c:v>1754</c:v>
                </c:pt>
                <c:pt idx="165">
                  <c:v>1755</c:v>
                </c:pt>
                <c:pt idx="166">
                  <c:v>1756</c:v>
                </c:pt>
                <c:pt idx="167">
                  <c:v>1757</c:v>
                </c:pt>
                <c:pt idx="168">
                  <c:v>1758</c:v>
                </c:pt>
                <c:pt idx="169">
                  <c:v>1759</c:v>
                </c:pt>
                <c:pt idx="170">
                  <c:v>1760</c:v>
                </c:pt>
                <c:pt idx="171">
                  <c:v>1761</c:v>
                </c:pt>
                <c:pt idx="172">
                  <c:v>1762</c:v>
                </c:pt>
                <c:pt idx="173">
                  <c:v>1763</c:v>
                </c:pt>
                <c:pt idx="174">
                  <c:v>1764</c:v>
                </c:pt>
                <c:pt idx="175">
                  <c:v>1765</c:v>
                </c:pt>
                <c:pt idx="176">
                  <c:v>1766</c:v>
                </c:pt>
                <c:pt idx="177">
                  <c:v>1767</c:v>
                </c:pt>
                <c:pt idx="178">
                  <c:v>1768</c:v>
                </c:pt>
                <c:pt idx="179">
                  <c:v>1769</c:v>
                </c:pt>
                <c:pt idx="180">
                  <c:v>1770</c:v>
                </c:pt>
                <c:pt idx="181">
                  <c:v>1771</c:v>
                </c:pt>
                <c:pt idx="182">
                  <c:v>1772</c:v>
                </c:pt>
                <c:pt idx="183">
                  <c:v>1773</c:v>
                </c:pt>
                <c:pt idx="184">
                  <c:v>1774</c:v>
                </c:pt>
                <c:pt idx="185">
                  <c:v>1775</c:v>
                </c:pt>
                <c:pt idx="186">
                  <c:v>1776</c:v>
                </c:pt>
                <c:pt idx="187">
                  <c:v>1777</c:v>
                </c:pt>
                <c:pt idx="188">
                  <c:v>1778</c:v>
                </c:pt>
                <c:pt idx="189">
                  <c:v>1779</c:v>
                </c:pt>
                <c:pt idx="190">
                  <c:v>1780</c:v>
                </c:pt>
                <c:pt idx="191">
                  <c:v>1781</c:v>
                </c:pt>
                <c:pt idx="192">
                  <c:v>1782</c:v>
                </c:pt>
                <c:pt idx="193">
                  <c:v>1783</c:v>
                </c:pt>
                <c:pt idx="194">
                  <c:v>1784</c:v>
                </c:pt>
                <c:pt idx="195">
                  <c:v>1785</c:v>
                </c:pt>
                <c:pt idx="196">
                  <c:v>1786</c:v>
                </c:pt>
                <c:pt idx="197">
                  <c:v>1787</c:v>
                </c:pt>
                <c:pt idx="198">
                  <c:v>1788</c:v>
                </c:pt>
                <c:pt idx="199">
                  <c:v>1789</c:v>
                </c:pt>
                <c:pt idx="200">
                  <c:v>1790</c:v>
                </c:pt>
                <c:pt idx="201">
                  <c:v>1791</c:v>
                </c:pt>
                <c:pt idx="202">
                  <c:v>1792</c:v>
                </c:pt>
                <c:pt idx="203">
                  <c:v>1793</c:v>
                </c:pt>
                <c:pt idx="204">
                  <c:v>1794</c:v>
                </c:pt>
                <c:pt idx="205">
                  <c:v>1795</c:v>
                </c:pt>
                <c:pt idx="206">
                  <c:v>1796</c:v>
                </c:pt>
                <c:pt idx="207">
                  <c:v>1797</c:v>
                </c:pt>
                <c:pt idx="208">
                  <c:v>1798</c:v>
                </c:pt>
                <c:pt idx="209">
                  <c:v>1799</c:v>
                </c:pt>
                <c:pt idx="210">
                  <c:v>1800</c:v>
                </c:pt>
              </c:numCache>
            </c:numRef>
          </c:cat>
          <c:val>
            <c:numRef>
              <c:f>'5- Opbrengst'!$W$8:$W$218</c:f>
              <c:numCache>
                <c:formatCode>#,##0</c:formatCode>
                <c:ptCount val="211"/>
                <c:pt idx="93">
                  <c:v>639411.5</c:v>
                </c:pt>
                <c:pt idx="94">
                  <c:v>748616.4</c:v>
                </c:pt>
                <c:pt idx="95">
                  <c:v>463885.66000000003</c:v>
                </c:pt>
                <c:pt idx="96">
                  <c:v>473488.26</c:v>
                </c:pt>
                <c:pt idx="97">
                  <c:v>765293.76</c:v>
                </c:pt>
                <c:pt idx="98">
                  <c:v>1027972.68</c:v>
                </c:pt>
                <c:pt idx="99">
                  <c:v>885267.32</c:v>
                </c:pt>
                <c:pt idx="100">
                  <c:v>737073.25</c:v>
                </c:pt>
                <c:pt idx="101">
                  <c:v>909428.26</c:v>
                </c:pt>
                <c:pt idx="102">
                  <c:v>623480.1</c:v>
                </c:pt>
                <c:pt idx="103">
                  <c:v>699051.05</c:v>
                </c:pt>
                <c:pt idx="104">
                  <c:v>1461879.2999999998</c:v>
                </c:pt>
                <c:pt idx="105">
                  <c:v>1906388.5</c:v>
                </c:pt>
                <c:pt idx="106">
                  <c:v>1134206</c:v>
                </c:pt>
                <c:pt idx="107">
                  <c:v>1685006.0000000002</c:v>
                </c:pt>
                <c:pt idx="108">
                  <c:v>774895.70000000007</c:v>
                </c:pt>
                <c:pt idx="109">
                  <c:v>1149182.1500000001</c:v>
                </c:pt>
                <c:pt idx="110">
                  <c:v>1252311.6599999999</c:v>
                </c:pt>
                <c:pt idx="111">
                  <c:v>1338602.2789370357</c:v>
                </c:pt>
                <c:pt idx="112">
                  <c:v>1341586.3506648587</c:v>
                </c:pt>
                <c:pt idx="113">
                  <c:v>1357829.5452245541</c:v>
                </c:pt>
                <c:pt idx="114">
                  <c:v>1535489.4857212249</c:v>
                </c:pt>
                <c:pt idx="115">
                  <c:v>1631933.4534194176</c:v>
                </c:pt>
                <c:pt idx="116">
                  <c:v>186321.05486854623</c:v>
                </c:pt>
                <c:pt idx="117">
                  <c:v>2347554.2310105446</c:v>
                </c:pt>
                <c:pt idx="118">
                  <c:v>1538693.9019207028</c:v>
                </c:pt>
                <c:pt idx="119">
                  <c:v>2335086.1179137402</c:v>
                </c:pt>
                <c:pt idx="120">
                  <c:v>1673583.3552591635</c:v>
                </c:pt>
                <c:pt idx="121">
                  <c:v>2302499.7065311992</c:v>
                </c:pt>
                <c:pt idx="122">
                  <c:v>2425311.9876945498</c:v>
                </c:pt>
                <c:pt idx="123">
                  <c:v>1556835.3943613514</c:v>
                </c:pt>
                <c:pt idx="124">
                  <c:v>2354034.2852516752</c:v>
                </c:pt>
                <c:pt idx="125">
                  <c:v>2087277.3786152324</c:v>
                </c:pt>
                <c:pt idx="126">
                  <c:v>1884985.4884737602</c:v>
                </c:pt>
                <c:pt idx="127">
                  <c:v>1555125.5844076993</c:v>
                </c:pt>
                <c:pt idx="128">
                  <c:v>1328896.3549150967</c:v>
                </c:pt>
                <c:pt idx="129">
                  <c:v>1850468.700034407</c:v>
                </c:pt>
                <c:pt idx="130">
                  <c:v>1821505.4342326298</c:v>
                </c:pt>
                <c:pt idx="131">
                  <c:v>2416969.9852253641</c:v>
                </c:pt>
                <c:pt idx="132">
                  <c:v>2792674.0067599025</c:v>
                </c:pt>
                <c:pt idx="133">
                  <c:v>1938737.4769778787</c:v>
                </c:pt>
                <c:pt idx="134">
                  <c:v>2414118.0756542333</c:v>
                </c:pt>
                <c:pt idx="135">
                  <c:v>2074904.6125199865</c:v>
                </c:pt>
                <c:pt idx="136">
                  <c:v>2322038.9402740393</c:v>
                </c:pt>
                <c:pt idx="137">
                  <c:v>2492896.2334797308</c:v>
                </c:pt>
                <c:pt idx="138">
                  <c:v>2415801.1698273597</c:v>
                </c:pt>
                <c:pt idx="139">
                  <c:v>2454372.0779615054</c:v>
                </c:pt>
                <c:pt idx="140">
                  <c:v>1990993.5436863729</c:v>
                </c:pt>
                <c:pt idx="141">
                  <c:v>1707515.7359995143</c:v>
                </c:pt>
                <c:pt idx="142">
                  <c:v>2009801.4531765468</c:v>
                </c:pt>
                <c:pt idx="143">
                  <c:v>1524946.7708312252</c:v>
                </c:pt>
                <c:pt idx="144">
                  <c:v>1652157.2992774597</c:v>
                </c:pt>
                <c:pt idx="145">
                  <c:v>1261434.1111943168</c:v>
                </c:pt>
                <c:pt idx="146">
                  <c:v>1875299.2976988</c:v>
                </c:pt>
                <c:pt idx="147">
                  <c:v>1583997.105790443</c:v>
                </c:pt>
                <c:pt idx="148">
                  <c:v>1663930.7211236821</c:v>
                </c:pt>
                <c:pt idx="149">
                  <c:v>1405523.8924082657</c:v>
                </c:pt>
                <c:pt idx="150">
                  <c:v>2912714.6876075212</c:v>
                </c:pt>
                <c:pt idx="151">
                  <c:v>2678332.8000000003</c:v>
                </c:pt>
                <c:pt idx="152">
                  <c:v>2836033.2</c:v>
                </c:pt>
                <c:pt idx="153">
                  <c:v>2214603.6</c:v>
                </c:pt>
                <c:pt idx="154">
                  <c:v>2654229.6</c:v>
                </c:pt>
                <c:pt idx="155">
                  <c:v>2747410.7956040399</c:v>
                </c:pt>
                <c:pt idx="156">
                  <c:v>2367271.9545022165</c:v>
                </c:pt>
                <c:pt idx="157">
                  <c:v>2180087.8382480927</c:v>
                </c:pt>
                <c:pt idx="158">
                  <c:v>2384197.1999999997</c:v>
                </c:pt>
                <c:pt idx="159">
                  <c:v>2733946.0422190293</c:v>
                </c:pt>
                <c:pt idx="160">
                  <c:v>2232740.4</c:v>
                </c:pt>
                <c:pt idx="161">
                  <c:v>2229796.7999999998</c:v>
                </c:pt>
                <c:pt idx="162">
                  <c:v>2243260.7999999998</c:v>
                </c:pt>
                <c:pt idx="163">
                  <c:v>1311024</c:v>
                </c:pt>
                <c:pt idx="164">
                  <c:v>1781841.6</c:v>
                </c:pt>
                <c:pt idx="165">
                  <c:v>1754478.7386913318</c:v>
                </c:pt>
                <c:pt idx="166">
                  <c:v>2404527.1104454659</c:v>
                </c:pt>
                <c:pt idx="167">
                  <c:v>1941596.0654941411</c:v>
                </c:pt>
                <c:pt idx="168">
                  <c:v>1602733.1053047017</c:v>
                </c:pt>
                <c:pt idx="169">
                  <c:v>2002294.3188487929</c:v>
                </c:pt>
                <c:pt idx="170">
                  <c:v>2385973.000870287</c:v>
                </c:pt>
                <c:pt idx="171">
                  <c:v>2517681.7988625555</c:v>
                </c:pt>
                <c:pt idx="172">
                  <c:v>2493497.3385415613</c:v>
                </c:pt>
                <c:pt idx="173">
                  <c:v>2483165.0104232025</c:v>
                </c:pt>
                <c:pt idx="174">
                  <c:v>2042370</c:v>
                </c:pt>
                <c:pt idx="175">
                  <c:v>1991979</c:v>
                </c:pt>
                <c:pt idx="176">
                  <c:v>1856883.6</c:v>
                </c:pt>
                <c:pt idx="177">
                  <c:v>2101869</c:v>
                </c:pt>
                <c:pt idx="178">
                  <c:v>2299334.4</c:v>
                </c:pt>
                <c:pt idx="179">
                  <c:v>2218689</c:v>
                </c:pt>
                <c:pt idx="180">
                  <c:v>1974873.6</c:v>
                </c:pt>
                <c:pt idx="181">
                  <c:v>2725970.4000000004</c:v>
                </c:pt>
                <c:pt idx="182">
                  <c:v>2243160</c:v>
                </c:pt>
                <c:pt idx="183">
                  <c:v>1990008</c:v>
                </c:pt>
                <c:pt idx="184">
                  <c:v>1852314.1598719999</c:v>
                </c:pt>
                <c:pt idx="185">
                  <c:v>2466662.3999999999</c:v>
                </c:pt>
                <c:pt idx="186">
                  <c:v>2021990.4000000001</c:v>
                </c:pt>
                <c:pt idx="187">
                  <c:v>2319653.5044222712</c:v>
                </c:pt>
                <c:pt idx="188">
                  <c:v>2530440</c:v>
                </c:pt>
                <c:pt idx="189">
                  <c:v>2343528</c:v>
                </c:pt>
                <c:pt idx="190">
                  <c:v>2493966.6862312537</c:v>
                </c:pt>
                <c:pt idx="191">
                  <c:v>411206.40000000002</c:v>
                </c:pt>
                <c:pt idx="192">
                  <c:v>1754176.0000000002</c:v>
                </c:pt>
                <c:pt idx="193">
                  <c:v>2227680</c:v>
                </c:pt>
                <c:pt idx="194">
                  <c:v>2174160.433152</c:v>
                </c:pt>
                <c:pt idx="195">
                  <c:v>2608719.3077759999</c:v>
                </c:pt>
                <c:pt idx="196">
                  <c:v>1765296</c:v>
                </c:pt>
                <c:pt idx="197">
                  <c:v>2456064</c:v>
                </c:pt>
                <c:pt idx="198">
                  <c:v>2593356.8000000003</c:v>
                </c:pt>
                <c:pt idx="199">
                  <c:v>2464761.4807018968</c:v>
                </c:pt>
                <c:pt idx="200">
                  <c:v>3883320</c:v>
                </c:pt>
                <c:pt idx="201">
                  <c:v>4141584.0000000005</c:v>
                </c:pt>
                <c:pt idx="202">
                  <c:v>4278977.5142180575</c:v>
                </c:pt>
                <c:pt idx="203">
                  <c:v>1359987.0468942907</c:v>
                </c:pt>
                <c:pt idx="204">
                  <c:v>6094343.1358659361</c:v>
                </c:pt>
              </c:numCache>
            </c:numRef>
          </c:val>
          <c:smooth val="0"/>
        </c:ser>
        <c:ser>
          <c:idx val="2"/>
          <c:order val="2"/>
          <c:tx>
            <c:v>Suiker Hoog Varia</c:v>
          </c:tx>
          <c:marker>
            <c:symbol val="none"/>
          </c:marker>
          <c:cat>
            <c:numRef>
              <c:f>'5- Opbrengst'!$A$8:$A$218</c:f>
              <c:numCache>
                <c:formatCode>General</c:formatCode>
                <c:ptCount val="211"/>
                <c:pt idx="0">
                  <c:v>1590</c:v>
                </c:pt>
                <c:pt idx="1">
                  <c:v>1591</c:v>
                </c:pt>
                <c:pt idx="2">
                  <c:v>1592</c:v>
                </c:pt>
                <c:pt idx="3">
                  <c:v>1593</c:v>
                </c:pt>
                <c:pt idx="4">
                  <c:v>1594</c:v>
                </c:pt>
                <c:pt idx="5">
                  <c:v>1595</c:v>
                </c:pt>
                <c:pt idx="6">
                  <c:v>1596</c:v>
                </c:pt>
                <c:pt idx="7">
                  <c:v>1597</c:v>
                </c:pt>
                <c:pt idx="8">
                  <c:v>1598</c:v>
                </c:pt>
                <c:pt idx="9">
                  <c:v>1599</c:v>
                </c:pt>
                <c:pt idx="10">
                  <c:v>1600</c:v>
                </c:pt>
                <c:pt idx="11">
                  <c:v>1601</c:v>
                </c:pt>
                <c:pt idx="12">
                  <c:v>1602</c:v>
                </c:pt>
                <c:pt idx="13">
                  <c:v>1603</c:v>
                </c:pt>
                <c:pt idx="14">
                  <c:v>1604</c:v>
                </c:pt>
                <c:pt idx="15">
                  <c:v>1605</c:v>
                </c:pt>
                <c:pt idx="16">
                  <c:v>1606</c:v>
                </c:pt>
                <c:pt idx="17">
                  <c:v>1607</c:v>
                </c:pt>
                <c:pt idx="18">
                  <c:v>1608</c:v>
                </c:pt>
                <c:pt idx="19">
                  <c:v>1609</c:v>
                </c:pt>
                <c:pt idx="20">
                  <c:v>1610</c:v>
                </c:pt>
                <c:pt idx="21">
                  <c:v>1611</c:v>
                </c:pt>
                <c:pt idx="22">
                  <c:v>1612</c:v>
                </c:pt>
                <c:pt idx="23">
                  <c:v>1613</c:v>
                </c:pt>
                <c:pt idx="24">
                  <c:v>1614</c:v>
                </c:pt>
                <c:pt idx="25">
                  <c:v>1615</c:v>
                </c:pt>
                <c:pt idx="26">
                  <c:v>1616</c:v>
                </c:pt>
                <c:pt idx="27">
                  <c:v>1617</c:v>
                </c:pt>
                <c:pt idx="28">
                  <c:v>1618</c:v>
                </c:pt>
                <c:pt idx="29">
                  <c:v>1619</c:v>
                </c:pt>
                <c:pt idx="30">
                  <c:v>1620</c:v>
                </c:pt>
                <c:pt idx="31">
                  <c:v>1621</c:v>
                </c:pt>
                <c:pt idx="32">
                  <c:v>1622</c:v>
                </c:pt>
                <c:pt idx="33">
                  <c:v>1623</c:v>
                </c:pt>
                <c:pt idx="34">
                  <c:v>1624</c:v>
                </c:pt>
                <c:pt idx="35">
                  <c:v>1625</c:v>
                </c:pt>
                <c:pt idx="36">
                  <c:v>1626</c:v>
                </c:pt>
                <c:pt idx="37">
                  <c:v>1627</c:v>
                </c:pt>
                <c:pt idx="38">
                  <c:v>1628</c:v>
                </c:pt>
                <c:pt idx="39">
                  <c:v>1629</c:v>
                </c:pt>
                <c:pt idx="40">
                  <c:v>1630</c:v>
                </c:pt>
                <c:pt idx="41">
                  <c:v>1631</c:v>
                </c:pt>
                <c:pt idx="42">
                  <c:v>1632</c:v>
                </c:pt>
                <c:pt idx="43">
                  <c:v>1633</c:v>
                </c:pt>
                <c:pt idx="44">
                  <c:v>1634</c:v>
                </c:pt>
                <c:pt idx="45">
                  <c:v>1635</c:v>
                </c:pt>
                <c:pt idx="46">
                  <c:v>1636</c:v>
                </c:pt>
                <c:pt idx="47">
                  <c:v>1637</c:v>
                </c:pt>
                <c:pt idx="48">
                  <c:v>1638</c:v>
                </c:pt>
                <c:pt idx="49">
                  <c:v>1639</c:v>
                </c:pt>
                <c:pt idx="50">
                  <c:v>1640</c:v>
                </c:pt>
                <c:pt idx="51">
                  <c:v>1641</c:v>
                </c:pt>
                <c:pt idx="52">
                  <c:v>1642</c:v>
                </c:pt>
                <c:pt idx="53">
                  <c:v>1643</c:v>
                </c:pt>
                <c:pt idx="54">
                  <c:v>1644</c:v>
                </c:pt>
                <c:pt idx="55">
                  <c:v>1645</c:v>
                </c:pt>
                <c:pt idx="56">
                  <c:v>1646</c:v>
                </c:pt>
                <c:pt idx="57">
                  <c:v>1647</c:v>
                </c:pt>
                <c:pt idx="58">
                  <c:v>1648</c:v>
                </c:pt>
                <c:pt idx="59">
                  <c:v>1649</c:v>
                </c:pt>
                <c:pt idx="60">
                  <c:v>1650</c:v>
                </c:pt>
                <c:pt idx="61">
                  <c:v>1651</c:v>
                </c:pt>
                <c:pt idx="62">
                  <c:v>1652</c:v>
                </c:pt>
                <c:pt idx="63">
                  <c:v>1653</c:v>
                </c:pt>
                <c:pt idx="64">
                  <c:v>1654</c:v>
                </c:pt>
                <c:pt idx="65">
                  <c:v>1655</c:v>
                </c:pt>
                <c:pt idx="66">
                  <c:v>1656</c:v>
                </c:pt>
                <c:pt idx="67">
                  <c:v>1657</c:v>
                </c:pt>
                <c:pt idx="68">
                  <c:v>1658</c:v>
                </c:pt>
                <c:pt idx="69">
                  <c:v>1659</c:v>
                </c:pt>
                <c:pt idx="70">
                  <c:v>1660</c:v>
                </c:pt>
                <c:pt idx="71">
                  <c:v>1661</c:v>
                </c:pt>
                <c:pt idx="72">
                  <c:v>1662</c:v>
                </c:pt>
                <c:pt idx="73">
                  <c:v>1663</c:v>
                </c:pt>
                <c:pt idx="74">
                  <c:v>1664</c:v>
                </c:pt>
                <c:pt idx="75">
                  <c:v>1665</c:v>
                </c:pt>
                <c:pt idx="76">
                  <c:v>1666</c:v>
                </c:pt>
                <c:pt idx="77">
                  <c:v>1667</c:v>
                </c:pt>
                <c:pt idx="78">
                  <c:v>1668</c:v>
                </c:pt>
                <c:pt idx="79">
                  <c:v>1669</c:v>
                </c:pt>
                <c:pt idx="80">
                  <c:v>1670</c:v>
                </c:pt>
                <c:pt idx="81">
                  <c:v>1671</c:v>
                </c:pt>
                <c:pt idx="82">
                  <c:v>1672</c:v>
                </c:pt>
                <c:pt idx="83">
                  <c:v>1673</c:v>
                </c:pt>
                <c:pt idx="84">
                  <c:v>1674</c:v>
                </c:pt>
                <c:pt idx="85">
                  <c:v>1675</c:v>
                </c:pt>
                <c:pt idx="86">
                  <c:v>1676</c:v>
                </c:pt>
                <c:pt idx="87">
                  <c:v>1677</c:v>
                </c:pt>
                <c:pt idx="88">
                  <c:v>1678</c:v>
                </c:pt>
                <c:pt idx="89">
                  <c:v>1679</c:v>
                </c:pt>
                <c:pt idx="90">
                  <c:v>1680</c:v>
                </c:pt>
                <c:pt idx="91">
                  <c:v>1681</c:v>
                </c:pt>
                <c:pt idx="92">
                  <c:v>1682</c:v>
                </c:pt>
                <c:pt idx="93">
                  <c:v>1683</c:v>
                </c:pt>
                <c:pt idx="94">
                  <c:v>1684</c:v>
                </c:pt>
                <c:pt idx="95">
                  <c:v>1685</c:v>
                </c:pt>
                <c:pt idx="96">
                  <c:v>1686</c:v>
                </c:pt>
                <c:pt idx="97">
                  <c:v>1687</c:v>
                </c:pt>
                <c:pt idx="98">
                  <c:v>1688</c:v>
                </c:pt>
                <c:pt idx="99">
                  <c:v>1689</c:v>
                </c:pt>
                <c:pt idx="100">
                  <c:v>1690</c:v>
                </c:pt>
                <c:pt idx="101">
                  <c:v>1691</c:v>
                </c:pt>
                <c:pt idx="102">
                  <c:v>1692</c:v>
                </c:pt>
                <c:pt idx="103">
                  <c:v>1693</c:v>
                </c:pt>
                <c:pt idx="104">
                  <c:v>1694</c:v>
                </c:pt>
                <c:pt idx="105">
                  <c:v>1695</c:v>
                </c:pt>
                <c:pt idx="106">
                  <c:v>1696</c:v>
                </c:pt>
                <c:pt idx="107">
                  <c:v>1697</c:v>
                </c:pt>
                <c:pt idx="108">
                  <c:v>1698</c:v>
                </c:pt>
                <c:pt idx="109">
                  <c:v>1699</c:v>
                </c:pt>
                <c:pt idx="110">
                  <c:v>1700</c:v>
                </c:pt>
                <c:pt idx="111">
                  <c:v>1701</c:v>
                </c:pt>
                <c:pt idx="112">
                  <c:v>1702</c:v>
                </c:pt>
                <c:pt idx="113">
                  <c:v>1703</c:v>
                </c:pt>
                <c:pt idx="114">
                  <c:v>1704</c:v>
                </c:pt>
                <c:pt idx="115">
                  <c:v>1705</c:v>
                </c:pt>
                <c:pt idx="116">
                  <c:v>1706</c:v>
                </c:pt>
                <c:pt idx="117">
                  <c:v>1707</c:v>
                </c:pt>
                <c:pt idx="118">
                  <c:v>1708</c:v>
                </c:pt>
                <c:pt idx="119">
                  <c:v>1709</c:v>
                </c:pt>
                <c:pt idx="120">
                  <c:v>1710</c:v>
                </c:pt>
                <c:pt idx="121">
                  <c:v>1711</c:v>
                </c:pt>
                <c:pt idx="122">
                  <c:v>1712</c:v>
                </c:pt>
                <c:pt idx="123">
                  <c:v>1713</c:v>
                </c:pt>
                <c:pt idx="124">
                  <c:v>1714</c:v>
                </c:pt>
                <c:pt idx="125">
                  <c:v>1715</c:v>
                </c:pt>
                <c:pt idx="126">
                  <c:v>1716</c:v>
                </c:pt>
                <c:pt idx="127">
                  <c:v>1717</c:v>
                </c:pt>
                <c:pt idx="128">
                  <c:v>1718</c:v>
                </c:pt>
                <c:pt idx="129">
                  <c:v>1719</c:v>
                </c:pt>
                <c:pt idx="130">
                  <c:v>1720</c:v>
                </c:pt>
                <c:pt idx="131">
                  <c:v>1721</c:v>
                </c:pt>
                <c:pt idx="132">
                  <c:v>1722</c:v>
                </c:pt>
                <c:pt idx="133">
                  <c:v>1723</c:v>
                </c:pt>
                <c:pt idx="134">
                  <c:v>1724</c:v>
                </c:pt>
                <c:pt idx="135">
                  <c:v>1725</c:v>
                </c:pt>
                <c:pt idx="136">
                  <c:v>1726</c:v>
                </c:pt>
                <c:pt idx="137">
                  <c:v>1727</c:v>
                </c:pt>
                <c:pt idx="138">
                  <c:v>1728</c:v>
                </c:pt>
                <c:pt idx="139">
                  <c:v>1729</c:v>
                </c:pt>
                <c:pt idx="140">
                  <c:v>1730</c:v>
                </c:pt>
                <c:pt idx="141">
                  <c:v>1731</c:v>
                </c:pt>
                <c:pt idx="142">
                  <c:v>1732</c:v>
                </c:pt>
                <c:pt idx="143">
                  <c:v>1733</c:v>
                </c:pt>
                <c:pt idx="144">
                  <c:v>1734</c:v>
                </c:pt>
                <c:pt idx="145">
                  <c:v>1735</c:v>
                </c:pt>
                <c:pt idx="146">
                  <c:v>1736</c:v>
                </c:pt>
                <c:pt idx="147">
                  <c:v>1737</c:v>
                </c:pt>
                <c:pt idx="148">
                  <c:v>1738</c:v>
                </c:pt>
                <c:pt idx="149">
                  <c:v>1739</c:v>
                </c:pt>
                <c:pt idx="150">
                  <c:v>1740</c:v>
                </c:pt>
                <c:pt idx="151">
                  <c:v>1741</c:v>
                </c:pt>
                <c:pt idx="152">
                  <c:v>1742</c:v>
                </c:pt>
                <c:pt idx="153">
                  <c:v>1743</c:v>
                </c:pt>
                <c:pt idx="154">
                  <c:v>1744</c:v>
                </c:pt>
                <c:pt idx="155">
                  <c:v>1745</c:v>
                </c:pt>
                <c:pt idx="156">
                  <c:v>1746</c:v>
                </c:pt>
                <c:pt idx="157">
                  <c:v>1747</c:v>
                </c:pt>
                <c:pt idx="158">
                  <c:v>1748</c:v>
                </c:pt>
                <c:pt idx="159">
                  <c:v>1749</c:v>
                </c:pt>
                <c:pt idx="160">
                  <c:v>1750</c:v>
                </c:pt>
                <c:pt idx="161">
                  <c:v>1751</c:v>
                </c:pt>
                <c:pt idx="162">
                  <c:v>1752</c:v>
                </c:pt>
                <c:pt idx="163">
                  <c:v>1753</c:v>
                </c:pt>
                <c:pt idx="164">
                  <c:v>1754</c:v>
                </c:pt>
                <c:pt idx="165">
                  <c:v>1755</c:v>
                </c:pt>
                <c:pt idx="166">
                  <c:v>1756</c:v>
                </c:pt>
                <c:pt idx="167">
                  <c:v>1757</c:v>
                </c:pt>
                <c:pt idx="168">
                  <c:v>1758</c:v>
                </c:pt>
                <c:pt idx="169">
                  <c:v>1759</c:v>
                </c:pt>
                <c:pt idx="170">
                  <c:v>1760</c:v>
                </c:pt>
                <c:pt idx="171">
                  <c:v>1761</c:v>
                </c:pt>
                <c:pt idx="172">
                  <c:v>1762</c:v>
                </c:pt>
                <c:pt idx="173">
                  <c:v>1763</c:v>
                </c:pt>
                <c:pt idx="174">
                  <c:v>1764</c:v>
                </c:pt>
                <c:pt idx="175">
                  <c:v>1765</c:v>
                </c:pt>
                <c:pt idx="176">
                  <c:v>1766</c:v>
                </c:pt>
                <c:pt idx="177">
                  <c:v>1767</c:v>
                </c:pt>
                <c:pt idx="178">
                  <c:v>1768</c:v>
                </c:pt>
                <c:pt idx="179">
                  <c:v>1769</c:v>
                </c:pt>
                <c:pt idx="180">
                  <c:v>1770</c:v>
                </c:pt>
                <c:pt idx="181">
                  <c:v>1771</c:v>
                </c:pt>
                <c:pt idx="182">
                  <c:v>1772</c:v>
                </c:pt>
                <c:pt idx="183">
                  <c:v>1773</c:v>
                </c:pt>
                <c:pt idx="184">
                  <c:v>1774</c:v>
                </c:pt>
                <c:pt idx="185">
                  <c:v>1775</c:v>
                </c:pt>
                <c:pt idx="186">
                  <c:v>1776</c:v>
                </c:pt>
                <c:pt idx="187">
                  <c:v>1777</c:v>
                </c:pt>
                <c:pt idx="188">
                  <c:v>1778</c:v>
                </c:pt>
                <c:pt idx="189">
                  <c:v>1779</c:v>
                </c:pt>
                <c:pt idx="190">
                  <c:v>1780</c:v>
                </c:pt>
                <c:pt idx="191">
                  <c:v>1781</c:v>
                </c:pt>
                <c:pt idx="192">
                  <c:v>1782</c:v>
                </c:pt>
                <c:pt idx="193">
                  <c:v>1783</c:v>
                </c:pt>
                <c:pt idx="194">
                  <c:v>1784</c:v>
                </c:pt>
                <c:pt idx="195">
                  <c:v>1785</c:v>
                </c:pt>
                <c:pt idx="196">
                  <c:v>1786</c:v>
                </c:pt>
                <c:pt idx="197">
                  <c:v>1787</c:v>
                </c:pt>
                <c:pt idx="198">
                  <c:v>1788</c:v>
                </c:pt>
                <c:pt idx="199">
                  <c:v>1789</c:v>
                </c:pt>
                <c:pt idx="200">
                  <c:v>1790</c:v>
                </c:pt>
                <c:pt idx="201">
                  <c:v>1791</c:v>
                </c:pt>
                <c:pt idx="202">
                  <c:v>1792</c:v>
                </c:pt>
                <c:pt idx="203">
                  <c:v>1793</c:v>
                </c:pt>
                <c:pt idx="204">
                  <c:v>1794</c:v>
                </c:pt>
                <c:pt idx="205">
                  <c:v>1795</c:v>
                </c:pt>
                <c:pt idx="206">
                  <c:v>1796</c:v>
                </c:pt>
                <c:pt idx="207">
                  <c:v>1797</c:v>
                </c:pt>
                <c:pt idx="208">
                  <c:v>1798</c:v>
                </c:pt>
                <c:pt idx="209">
                  <c:v>1799</c:v>
                </c:pt>
                <c:pt idx="210">
                  <c:v>1800</c:v>
                </c:pt>
              </c:numCache>
            </c:numRef>
          </c:cat>
          <c:val>
            <c:numRef>
              <c:f>'5- Opbrengst'!$X$8:$X$218</c:f>
              <c:numCache>
                <c:formatCode>#,##0</c:formatCode>
                <c:ptCount val="211"/>
                <c:pt idx="93">
                  <c:v>639411.5</c:v>
                </c:pt>
                <c:pt idx="94">
                  <c:v>748616.4</c:v>
                </c:pt>
                <c:pt idx="95">
                  <c:v>463885.66000000003</c:v>
                </c:pt>
                <c:pt idx="96">
                  <c:v>473488.26</c:v>
                </c:pt>
                <c:pt idx="97">
                  <c:v>765293.76</c:v>
                </c:pt>
                <c:pt idx="98">
                  <c:v>1027972.68</c:v>
                </c:pt>
                <c:pt idx="99">
                  <c:v>885267.32</c:v>
                </c:pt>
                <c:pt idx="100">
                  <c:v>737073.25</c:v>
                </c:pt>
                <c:pt idx="101">
                  <c:v>909428.26</c:v>
                </c:pt>
                <c:pt idx="102">
                  <c:v>623480.1</c:v>
                </c:pt>
                <c:pt idx="103">
                  <c:v>699051.05</c:v>
                </c:pt>
                <c:pt idx="104">
                  <c:v>1461879.2999999998</c:v>
                </c:pt>
                <c:pt idx="105">
                  <c:v>1906388.5</c:v>
                </c:pt>
                <c:pt idx="106">
                  <c:v>1134206</c:v>
                </c:pt>
                <c:pt idx="107">
                  <c:v>1685006.0000000002</c:v>
                </c:pt>
                <c:pt idx="108">
                  <c:v>774895.70000000007</c:v>
                </c:pt>
                <c:pt idx="109">
                  <c:v>1149182.1500000001</c:v>
                </c:pt>
                <c:pt idx="110">
                  <c:v>1596000</c:v>
                </c:pt>
                <c:pt idx="111">
                  <c:v>1733138.96</c:v>
                </c:pt>
                <c:pt idx="112">
                  <c:v>2501920</c:v>
                </c:pt>
                <c:pt idx="113">
                  <c:v>2162199.9999999995</c:v>
                </c:pt>
                <c:pt idx="114">
                  <c:v>1839200</c:v>
                </c:pt>
                <c:pt idx="115">
                  <c:v>2097600</c:v>
                </c:pt>
                <c:pt idx="116">
                  <c:v>2096384</c:v>
                </c:pt>
                <c:pt idx="117">
                  <c:v>2811885.9999999995</c:v>
                </c:pt>
                <c:pt idx="118">
                  <c:v>1843038</c:v>
                </c:pt>
                <c:pt idx="119">
                  <c:v>2796952</c:v>
                </c:pt>
                <c:pt idx="120">
                  <c:v>2004608</c:v>
                </c:pt>
                <c:pt idx="121">
                  <c:v>2757920.0000000005</c:v>
                </c:pt>
                <c:pt idx="122">
                  <c:v>2905024</c:v>
                </c:pt>
                <c:pt idx="123">
                  <c:v>1864768</c:v>
                </c:pt>
                <c:pt idx="124">
                  <c:v>2819635.2000000002</c:v>
                </c:pt>
                <c:pt idx="125">
                  <c:v>2500128.0000000005</c:v>
                </c:pt>
                <c:pt idx="126">
                  <c:v>2257824</c:v>
                </c:pt>
                <c:pt idx="127">
                  <c:v>1862720</c:v>
                </c:pt>
                <c:pt idx="128">
                  <c:v>1591744</c:v>
                </c:pt>
                <c:pt idx="129">
                  <c:v>2216480</c:v>
                </c:pt>
                <c:pt idx="130">
                  <c:v>2181788</c:v>
                </c:pt>
                <c:pt idx="131">
                  <c:v>2895020.8</c:v>
                </c:pt>
                <c:pt idx="132">
                  <c:v>3345036.8</c:v>
                </c:pt>
                <c:pt idx="133">
                  <c:v>2341808</c:v>
                </c:pt>
                <c:pt idx="134">
                  <c:v>2891616</c:v>
                </c:pt>
                <c:pt idx="135">
                  <c:v>2485308</c:v>
                </c:pt>
                <c:pt idx="136">
                  <c:v>2781380</c:v>
                </c:pt>
                <c:pt idx="137">
                  <c:v>2985976</c:v>
                </c:pt>
                <c:pt idx="138">
                  <c:v>2893632</c:v>
                </c:pt>
                <c:pt idx="139">
                  <c:v>2939832.0000000005</c:v>
                </c:pt>
                <c:pt idx="140">
                  <c:v>2384800</c:v>
                </c:pt>
                <c:pt idx="141">
                  <c:v>2087470</c:v>
                </c:pt>
                <c:pt idx="142">
                  <c:v>2407328</c:v>
                </c:pt>
                <c:pt idx="143">
                  <c:v>1855788</c:v>
                </c:pt>
                <c:pt idx="144">
                  <c:v>1978944</c:v>
                </c:pt>
                <c:pt idx="145">
                  <c:v>1510938</c:v>
                </c:pt>
                <c:pt idx="146">
                  <c:v>2306062</c:v>
                </c:pt>
                <c:pt idx="147">
                  <c:v>1897302.0000000002</c:v>
                </c:pt>
                <c:pt idx="148">
                  <c:v>1993045.9999999998</c:v>
                </c:pt>
                <c:pt idx="149">
                  <c:v>1683528</c:v>
                </c:pt>
                <c:pt idx="150">
                  <c:v>3488256</c:v>
                </c:pt>
                <c:pt idx="151">
                  <c:v>3652200</c:v>
                </c:pt>
                <c:pt idx="152">
                  <c:v>4419828</c:v>
                </c:pt>
                <c:pt idx="153">
                  <c:v>2842308</c:v>
                </c:pt>
                <c:pt idx="154">
                  <c:v>3217284.0000000005</c:v>
                </c:pt>
                <c:pt idx="155">
                  <c:v>3432634.9369199998</c:v>
                </c:pt>
                <c:pt idx="156">
                  <c:v>3269027.9033999997</c:v>
                </c:pt>
                <c:pt idx="157">
                  <c:v>3010585.2352799997</c:v>
                </c:pt>
                <c:pt idx="158">
                  <c:v>2889936</c:v>
                </c:pt>
                <c:pt idx="159">
                  <c:v>3274740</c:v>
                </c:pt>
                <c:pt idx="160">
                  <c:v>3943488</c:v>
                </c:pt>
                <c:pt idx="161">
                  <c:v>3603648.0000000005</c:v>
                </c:pt>
                <c:pt idx="162">
                  <c:v>3625472</c:v>
                </c:pt>
                <c:pt idx="163">
                  <c:v>1955840</c:v>
                </c:pt>
                <c:pt idx="164">
                  <c:v>2468352.0000000005</c:v>
                </c:pt>
                <c:pt idx="165">
                  <c:v>2725538.7851999998</c:v>
                </c:pt>
                <c:pt idx="166">
                  <c:v>3735486.4142399998</c:v>
                </c:pt>
                <c:pt idx="167">
                  <c:v>2872678.7872000001</c:v>
                </c:pt>
                <c:pt idx="168">
                  <c:v>2727013.1497599999</c:v>
                </c:pt>
                <c:pt idx="169">
                  <c:v>2398368.0000000005</c:v>
                </c:pt>
                <c:pt idx="170">
                  <c:v>3139760.9154239995</c:v>
                </c:pt>
                <c:pt idx="171">
                  <c:v>3681116.7506399998</c:v>
                </c:pt>
                <c:pt idx="172">
                  <c:v>3828130.6608719998</c:v>
                </c:pt>
                <c:pt idx="173">
                  <c:v>3267583.5795119996</c:v>
                </c:pt>
                <c:pt idx="174">
                  <c:v>3370222.8000000003</c:v>
                </c:pt>
                <c:pt idx="175">
                  <c:v>3005511.6</c:v>
                </c:pt>
                <c:pt idx="176">
                  <c:v>3004797.6000000006</c:v>
                </c:pt>
                <c:pt idx="177">
                  <c:v>3031786.8000000003</c:v>
                </c:pt>
                <c:pt idx="178">
                  <c:v>3109327.2000000007</c:v>
                </c:pt>
                <c:pt idx="179">
                  <c:v>3200290.8000000003</c:v>
                </c:pt>
                <c:pt idx="180">
                  <c:v>2715451.2</c:v>
                </c:pt>
                <c:pt idx="181">
                  <c:v>3527726.4</c:v>
                </c:pt>
                <c:pt idx="182">
                  <c:v>3289968</c:v>
                </c:pt>
                <c:pt idx="183">
                  <c:v>2918678.4000000004</c:v>
                </c:pt>
                <c:pt idx="184">
                  <c:v>2553091.2000000002</c:v>
                </c:pt>
                <c:pt idx="185">
                  <c:v>3391660.8000000003</c:v>
                </c:pt>
                <c:pt idx="186">
                  <c:v>2780236.8</c:v>
                </c:pt>
                <c:pt idx="187">
                  <c:v>3076117.3801600002</c:v>
                </c:pt>
                <c:pt idx="188">
                  <c:v>4790739.329376</c:v>
                </c:pt>
                <c:pt idx="189">
                  <c:v>4367592.7479360001</c:v>
                </c:pt>
                <c:pt idx="190">
                  <c:v>4046440.572288</c:v>
                </c:pt>
                <c:pt idx="191">
                  <c:v>4671356.1177599998</c:v>
                </c:pt>
                <c:pt idx="192">
                  <c:v>3326784</c:v>
                </c:pt>
                <c:pt idx="193">
                  <c:v>4221491.2000000002</c:v>
                </c:pt>
                <c:pt idx="194">
                  <c:v>3748800</c:v>
                </c:pt>
                <c:pt idx="195">
                  <c:v>3628224</c:v>
                </c:pt>
                <c:pt idx="196">
                  <c:v>3216000</c:v>
                </c:pt>
                <c:pt idx="197">
                  <c:v>3169152</c:v>
                </c:pt>
                <c:pt idx="198">
                  <c:v>2737242.7891199999</c:v>
                </c:pt>
                <c:pt idx="199">
                  <c:v>3258489.5566079998</c:v>
                </c:pt>
                <c:pt idx="200">
                  <c:v>6333188.3999999994</c:v>
                </c:pt>
                <c:pt idx="201">
                  <c:v>5752833.6800000006</c:v>
                </c:pt>
                <c:pt idx="202">
                  <c:v>5870665.7551871995</c:v>
                </c:pt>
                <c:pt idx="203">
                  <c:v>1812027.4051967999</c:v>
                </c:pt>
                <c:pt idx="204">
                  <c:v>8076771.2413079981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2928"/>
        <c:axId val="175454464"/>
      </c:lineChart>
      <c:catAx>
        <c:axId val="17545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454464"/>
        <c:crosses val="autoZero"/>
        <c:auto val="1"/>
        <c:lblAlgn val="ctr"/>
        <c:lblOffset val="100"/>
        <c:noMultiLvlLbl val="0"/>
      </c:catAx>
      <c:valAx>
        <c:axId val="1754544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5452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882252672614023E-2"/>
          <c:y val="1.0328072846229388E-2"/>
          <c:w val="0.14481675785757181"/>
          <c:h val="0.236860090629605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Koffie Laag Varia</c:v>
          </c:tx>
          <c:marker>
            <c:symbol val="none"/>
          </c:marker>
          <c:cat>
            <c:numRef>
              <c:f>'5- Opbrengst'!$A$118:$A$218</c:f>
              <c:numCache>
                <c:formatCode>General</c:formatCode>
                <c:ptCount val="101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</c:numCache>
            </c:numRef>
          </c:cat>
          <c:val>
            <c:numRef>
              <c:f>'5- Opbrengst'!$Z$118:$Z$218</c:f>
              <c:numCache>
                <c:formatCode>#,##0</c:formatCode>
                <c:ptCount val="101"/>
                <c:pt idx="23">
                  <c:v>2123.5</c:v>
                </c:pt>
                <c:pt idx="24">
                  <c:v>3488.74</c:v>
                </c:pt>
                <c:pt idx="25">
                  <c:v>28573.32</c:v>
                </c:pt>
                <c:pt idx="26">
                  <c:v>88475.24</c:v>
                </c:pt>
                <c:pt idx="27">
                  <c:v>128571.26</c:v>
                </c:pt>
                <c:pt idx="28">
                  <c:v>128546.46</c:v>
                </c:pt>
                <c:pt idx="29">
                  <c:v>168742.30000000002</c:v>
                </c:pt>
                <c:pt idx="30">
                  <c:v>290436.52</c:v>
                </c:pt>
                <c:pt idx="31">
                  <c:v>328312.32000000001</c:v>
                </c:pt>
                <c:pt idx="32">
                  <c:v>627831.84000000008</c:v>
                </c:pt>
                <c:pt idx="33">
                  <c:v>489219.68</c:v>
                </c:pt>
                <c:pt idx="34">
                  <c:v>779362.32000000007</c:v>
                </c:pt>
                <c:pt idx="35">
                  <c:v>754999.41999999993</c:v>
                </c:pt>
                <c:pt idx="36">
                  <c:v>1004626.3</c:v>
                </c:pt>
                <c:pt idx="37">
                  <c:v>2012812.6400000001</c:v>
                </c:pt>
                <c:pt idx="38">
                  <c:v>1488779.9600000002</c:v>
                </c:pt>
                <c:pt idx="39">
                  <c:v>1974657.2200000002</c:v>
                </c:pt>
                <c:pt idx="40">
                  <c:v>1964994.348912</c:v>
                </c:pt>
                <c:pt idx="41">
                  <c:v>1730145.9803255999</c:v>
                </c:pt>
                <c:pt idx="42">
                  <c:v>983884.10484959988</c:v>
                </c:pt>
                <c:pt idx="43">
                  <c:v>936061.76618480007</c:v>
                </c:pt>
                <c:pt idx="44">
                  <c:v>1477489.2148054</c:v>
                </c:pt>
                <c:pt idx="45">
                  <c:v>1158657.35497</c:v>
                </c:pt>
                <c:pt idx="46">
                  <c:v>1243488</c:v>
                </c:pt>
                <c:pt idx="47">
                  <c:v>2049946</c:v>
                </c:pt>
                <c:pt idx="48">
                  <c:v>703758.5</c:v>
                </c:pt>
                <c:pt idx="49">
                  <c:v>1578098.5</c:v>
                </c:pt>
                <c:pt idx="50">
                  <c:v>1626715.9400000002</c:v>
                </c:pt>
                <c:pt idx="51">
                  <c:v>1945749.86</c:v>
                </c:pt>
                <c:pt idx="52">
                  <c:v>2463980.8000000003</c:v>
                </c:pt>
                <c:pt idx="53">
                  <c:v>1298088.26</c:v>
                </c:pt>
                <c:pt idx="54">
                  <c:v>1156666.8639959998</c:v>
                </c:pt>
                <c:pt idx="55">
                  <c:v>1281978.6000000001</c:v>
                </c:pt>
                <c:pt idx="56">
                  <c:v>2947500.6</c:v>
                </c:pt>
                <c:pt idx="57">
                  <c:v>3199025.7756989999</c:v>
                </c:pt>
                <c:pt idx="58">
                  <c:v>2750705.0221867994</c:v>
                </c:pt>
                <c:pt idx="59">
                  <c:v>4992833.1000000006</c:v>
                </c:pt>
                <c:pt idx="60">
                  <c:v>3553109.6921639997</c:v>
                </c:pt>
                <c:pt idx="61">
                  <c:v>3681963.4232639996</c:v>
                </c:pt>
                <c:pt idx="62">
                  <c:v>4473755.1586227994</c:v>
                </c:pt>
                <c:pt idx="63">
                  <c:v>5057124.0792103997</c:v>
                </c:pt>
                <c:pt idx="64">
                  <c:v>3456776.4707739996</c:v>
                </c:pt>
                <c:pt idx="65">
                  <c:v>5158458.6179256001</c:v>
                </c:pt>
                <c:pt idx="66">
                  <c:v>4510226.5206725998</c:v>
                </c:pt>
                <c:pt idx="67">
                  <c:v>5602486.4100000001</c:v>
                </c:pt>
                <c:pt idx="68">
                  <c:v>4471460</c:v>
                </c:pt>
                <c:pt idx="69">
                  <c:v>5742899.9299999997</c:v>
                </c:pt>
                <c:pt idx="70">
                  <c:v>2717675.61</c:v>
                </c:pt>
                <c:pt idx="71">
                  <c:v>4668690</c:v>
                </c:pt>
                <c:pt idx="72">
                  <c:v>4945248.75</c:v>
                </c:pt>
                <c:pt idx="73">
                  <c:v>5431375.6525955992</c:v>
                </c:pt>
                <c:pt idx="74">
                  <c:v>3918448.5440297998</c:v>
                </c:pt>
                <c:pt idx="75">
                  <c:v>3679982.3200000003</c:v>
                </c:pt>
                <c:pt idx="76">
                  <c:v>3483334.5</c:v>
                </c:pt>
                <c:pt idx="77">
                  <c:v>3711253.2760999999</c:v>
                </c:pt>
                <c:pt idx="78">
                  <c:v>3636106.1398200002</c:v>
                </c:pt>
                <c:pt idx="79">
                  <c:v>4078904.7755015995</c:v>
                </c:pt>
                <c:pt idx="80">
                  <c:v>4379218.5176454</c:v>
                </c:pt>
                <c:pt idx="81">
                  <c:v>2161542.35</c:v>
                </c:pt>
                <c:pt idx="82">
                  <c:v>4068229.55</c:v>
                </c:pt>
                <c:pt idx="83">
                  <c:v>3657192.0531234001</c:v>
                </c:pt>
                <c:pt idx="84">
                  <c:v>5359547.6943539996</c:v>
                </c:pt>
                <c:pt idx="85">
                  <c:v>2857802.3302079993</c:v>
                </c:pt>
                <c:pt idx="86">
                  <c:v>6017563.2578151999</c:v>
                </c:pt>
                <c:pt idx="87">
                  <c:v>5190164.6499999994</c:v>
                </c:pt>
                <c:pt idx="88">
                  <c:v>3760774.05</c:v>
                </c:pt>
                <c:pt idx="89">
                  <c:v>6132117.75</c:v>
                </c:pt>
                <c:pt idx="90">
                  <c:v>7466480.8092450006</c:v>
                </c:pt>
                <c:pt idx="91">
                  <c:v>6570656.3590899995</c:v>
                </c:pt>
                <c:pt idx="92">
                  <c:v>3992187.1723775025</c:v>
                </c:pt>
                <c:pt idx="93">
                  <c:v>178797.87083324901</c:v>
                </c:pt>
                <c:pt idx="94">
                  <c:v>6235916.96</c:v>
                </c:pt>
              </c:numCache>
            </c:numRef>
          </c:val>
          <c:smooth val="0"/>
        </c:ser>
        <c:ser>
          <c:idx val="1"/>
          <c:order val="1"/>
          <c:tx>
            <c:v>Koffie Hoog Varia</c:v>
          </c:tx>
          <c:marker>
            <c:symbol val="none"/>
          </c:marker>
          <c:cat>
            <c:numRef>
              <c:f>'5- Opbrengst'!$A$118:$A$218</c:f>
              <c:numCache>
                <c:formatCode>General</c:formatCode>
                <c:ptCount val="101"/>
                <c:pt idx="0">
                  <c:v>1700</c:v>
                </c:pt>
                <c:pt idx="1">
                  <c:v>1701</c:v>
                </c:pt>
                <c:pt idx="2">
                  <c:v>1702</c:v>
                </c:pt>
                <c:pt idx="3">
                  <c:v>1703</c:v>
                </c:pt>
                <c:pt idx="4">
                  <c:v>1704</c:v>
                </c:pt>
                <c:pt idx="5">
                  <c:v>1705</c:v>
                </c:pt>
                <c:pt idx="6">
                  <c:v>1706</c:v>
                </c:pt>
                <c:pt idx="7">
                  <c:v>1707</c:v>
                </c:pt>
                <c:pt idx="8">
                  <c:v>1708</c:v>
                </c:pt>
                <c:pt idx="9">
                  <c:v>1709</c:v>
                </c:pt>
                <c:pt idx="10">
                  <c:v>1710</c:v>
                </c:pt>
                <c:pt idx="11">
                  <c:v>1711</c:v>
                </c:pt>
                <c:pt idx="12">
                  <c:v>1712</c:v>
                </c:pt>
                <c:pt idx="13">
                  <c:v>1713</c:v>
                </c:pt>
                <c:pt idx="14">
                  <c:v>1714</c:v>
                </c:pt>
                <c:pt idx="15">
                  <c:v>1715</c:v>
                </c:pt>
                <c:pt idx="16">
                  <c:v>1716</c:v>
                </c:pt>
                <c:pt idx="17">
                  <c:v>1717</c:v>
                </c:pt>
                <c:pt idx="18">
                  <c:v>1718</c:v>
                </c:pt>
                <c:pt idx="19">
                  <c:v>1719</c:v>
                </c:pt>
                <c:pt idx="20">
                  <c:v>1720</c:v>
                </c:pt>
                <c:pt idx="21">
                  <c:v>1721</c:v>
                </c:pt>
                <c:pt idx="22">
                  <c:v>1722</c:v>
                </c:pt>
                <c:pt idx="23">
                  <c:v>1723</c:v>
                </c:pt>
                <c:pt idx="24">
                  <c:v>1724</c:v>
                </c:pt>
                <c:pt idx="25">
                  <c:v>1725</c:v>
                </c:pt>
                <c:pt idx="26">
                  <c:v>1726</c:v>
                </c:pt>
                <c:pt idx="27">
                  <c:v>1727</c:v>
                </c:pt>
                <c:pt idx="28">
                  <c:v>1728</c:v>
                </c:pt>
                <c:pt idx="29">
                  <c:v>1729</c:v>
                </c:pt>
                <c:pt idx="30">
                  <c:v>1730</c:v>
                </c:pt>
                <c:pt idx="31">
                  <c:v>1731</c:v>
                </c:pt>
                <c:pt idx="32">
                  <c:v>1732</c:v>
                </c:pt>
                <c:pt idx="33">
                  <c:v>1733</c:v>
                </c:pt>
                <c:pt idx="34">
                  <c:v>1734</c:v>
                </c:pt>
                <c:pt idx="35">
                  <c:v>1735</c:v>
                </c:pt>
                <c:pt idx="36">
                  <c:v>1736</c:v>
                </c:pt>
                <c:pt idx="37">
                  <c:v>1737</c:v>
                </c:pt>
                <c:pt idx="38">
                  <c:v>1738</c:v>
                </c:pt>
                <c:pt idx="39">
                  <c:v>1739</c:v>
                </c:pt>
                <c:pt idx="40">
                  <c:v>1740</c:v>
                </c:pt>
                <c:pt idx="41">
                  <c:v>1741</c:v>
                </c:pt>
                <c:pt idx="42">
                  <c:v>1742</c:v>
                </c:pt>
                <c:pt idx="43">
                  <c:v>1743</c:v>
                </c:pt>
                <c:pt idx="44">
                  <c:v>1744</c:v>
                </c:pt>
                <c:pt idx="45">
                  <c:v>1745</c:v>
                </c:pt>
                <c:pt idx="46">
                  <c:v>1746</c:v>
                </c:pt>
                <c:pt idx="47">
                  <c:v>1747</c:v>
                </c:pt>
                <c:pt idx="48">
                  <c:v>1748</c:v>
                </c:pt>
                <c:pt idx="49">
                  <c:v>1749</c:v>
                </c:pt>
                <c:pt idx="50">
                  <c:v>1750</c:v>
                </c:pt>
                <c:pt idx="51">
                  <c:v>1751</c:v>
                </c:pt>
                <c:pt idx="52">
                  <c:v>1752</c:v>
                </c:pt>
                <c:pt idx="53">
                  <c:v>1753</c:v>
                </c:pt>
                <c:pt idx="54">
                  <c:v>1754</c:v>
                </c:pt>
                <c:pt idx="55">
                  <c:v>1755</c:v>
                </c:pt>
                <c:pt idx="56">
                  <c:v>1756</c:v>
                </c:pt>
                <c:pt idx="57">
                  <c:v>1757</c:v>
                </c:pt>
                <c:pt idx="58">
                  <c:v>1758</c:v>
                </c:pt>
                <c:pt idx="59">
                  <c:v>1759</c:v>
                </c:pt>
                <c:pt idx="60">
                  <c:v>1760</c:v>
                </c:pt>
                <c:pt idx="61">
                  <c:v>1761</c:v>
                </c:pt>
                <c:pt idx="62">
                  <c:v>1762</c:v>
                </c:pt>
                <c:pt idx="63">
                  <c:v>1763</c:v>
                </c:pt>
                <c:pt idx="64">
                  <c:v>1764</c:v>
                </c:pt>
                <c:pt idx="65">
                  <c:v>1765</c:v>
                </c:pt>
                <c:pt idx="66">
                  <c:v>1766</c:v>
                </c:pt>
                <c:pt idx="67">
                  <c:v>1767</c:v>
                </c:pt>
                <c:pt idx="68">
                  <c:v>1768</c:v>
                </c:pt>
                <c:pt idx="69">
                  <c:v>1769</c:v>
                </c:pt>
                <c:pt idx="70">
                  <c:v>1770</c:v>
                </c:pt>
                <c:pt idx="71">
                  <c:v>1771</c:v>
                </c:pt>
                <c:pt idx="72">
                  <c:v>1772</c:v>
                </c:pt>
                <c:pt idx="73">
                  <c:v>1773</c:v>
                </c:pt>
                <c:pt idx="74">
                  <c:v>1774</c:v>
                </c:pt>
                <c:pt idx="75">
                  <c:v>1775</c:v>
                </c:pt>
                <c:pt idx="76">
                  <c:v>1776</c:v>
                </c:pt>
                <c:pt idx="77">
                  <c:v>1777</c:v>
                </c:pt>
                <c:pt idx="78">
                  <c:v>1778</c:v>
                </c:pt>
                <c:pt idx="79">
                  <c:v>1779</c:v>
                </c:pt>
                <c:pt idx="80">
                  <c:v>1780</c:v>
                </c:pt>
                <c:pt idx="81">
                  <c:v>1781</c:v>
                </c:pt>
                <c:pt idx="82">
                  <c:v>1782</c:v>
                </c:pt>
                <c:pt idx="83">
                  <c:v>1783</c:v>
                </c:pt>
                <c:pt idx="84">
                  <c:v>1784</c:v>
                </c:pt>
                <c:pt idx="85">
                  <c:v>1785</c:v>
                </c:pt>
                <c:pt idx="86">
                  <c:v>1786</c:v>
                </c:pt>
                <c:pt idx="87">
                  <c:v>1787</c:v>
                </c:pt>
                <c:pt idx="88">
                  <c:v>1788</c:v>
                </c:pt>
                <c:pt idx="89">
                  <c:v>1789</c:v>
                </c:pt>
                <c:pt idx="90">
                  <c:v>1790</c:v>
                </c:pt>
                <c:pt idx="91">
                  <c:v>1791</c:v>
                </c:pt>
                <c:pt idx="92">
                  <c:v>1792</c:v>
                </c:pt>
                <c:pt idx="93">
                  <c:v>1793</c:v>
                </c:pt>
                <c:pt idx="94">
                  <c:v>1794</c:v>
                </c:pt>
                <c:pt idx="95">
                  <c:v>1795</c:v>
                </c:pt>
                <c:pt idx="96">
                  <c:v>1796</c:v>
                </c:pt>
                <c:pt idx="97">
                  <c:v>1797</c:v>
                </c:pt>
                <c:pt idx="98">
                  <c:v>1798</c:v>
                </c:pt>
                <c:pt idx="99">
                  <c:v>1799</c:v>
                </c:pt>
                <c:pt idx="100">
                  <c:v>1800</c:v>
                </c:pt>
              </c:numCache>
            </c:numRef>
          </c:cat>
          <c:val>
            <c:numRef>
              <c:f>'5- Opbrengst'!$AA$118:$AA$218</c:f>
              <c:numCache>
                <c:formatCode>#,##0</c:formatCode>
                <c:ptCount val="101"/>
                <c:pt idx="23">
                  <c:v>2123.5</c:v>
                </c:pt>
                <c:pt idx="24">
                  <c:v>3638.1600000000003</c:v>
                </c:pt>
                <c:pt idx="25">
                  <c:v>29080.480000000003</c:v>
                </c:pt>
                <c:pt idx="26">
                  <c:v>89533.526280637132</c:v>
                </c:pt>
                <c:pt idx="27">
                  <c:v>130109.77757088791</c:v>
                </c:pt>
                <c:pt idx="28">
                  <c:v>144407.33469610801</c:v>
                </c:pt>
                <c:pt idx="29">
                  <c:v>170761.31878807506</c:v>
                </c:pt>
                <c:pt idx="30">
                  <c:v>316009.39100163942</c:v>
                </c:pt>
                <c:pt idx="31">
                  <c:v>348236.64</c:v>
                </c:pt>
                <c:pt idx="32">
                  <c:v>690877.93721791578</c:v>
                </c:pt>
                <c:pt idx="33">
                  <c:v>495092.75638041657</c:v>
                </c:pt>
                <c:pt idx="34">
                  <c:v>788684.5716367464</c:v>
                </c:pt>
                <c:pt idx="35">
                  <c:v>863535.3073326723</c:v>
                </c:pt>
                <c:pt idx="36">
                  <c:v>1103635.9600000002</c:v>
                </c:pt>
                <c:pt idx="37">
                  <c:v>2043135.2182800707</c:v>
                </c:pt>
                <c:pt idx="38">
                  <c:v>1506589.0829605944</c:v>
                </c:pt>
                <c:pt idx="39">
                  <c:v>1998278.7346434861</c:v>
                </c:pt>
                <c:pt idx="40">
                  <c:v>2554501</c:v>
                </c:pt>
                <c:pt idx="41">
                  <c:v>2460810.7834605034</c:v>
                </c:pt>
                <c:pt idx="42">
                  <c:v>1394837.9849824931</c:v>
                </c:pt>
                <c:pt idx="43">
                  <c:v>1521491.023902528</c:v>
                </c:pt>
                <c:pt idx="44">
                  <c:v>1769476.2087878727</c:v>
                </c:pt>
                <c:pt idx="45">
                  <c:v>1210698.4557469287</c:v>
                </c:pt>
                <c:pt idx="46">
                  <c:v>1804504.7999999998</c:v>
                </c:pt>
                <c:pt idx="47">
                  <c:v>2829001.38</c:v>
                </c:pt>
                <c:pt idx="48">
                  <c:v>1041585.52</c:v>
                </c:pt>
                <c:pt idx="49">
                  <c:v>1602451.9824323505</c:v>
                </c:pt>
                <c:pt idx="50">
                  <c:v>1775474.3700699999</c:v>
                </c:pt>
                <c:pt idx="51">
                  <c:v>2079023.04</c:v>
                </c:pt>
                <c:pt idx="52">
                  <c:v>2571110.3999999999</c:v>
                </c:pt>
                <c:pt idx="53">
                  <c:v>1357665.5</c:v>
                </c:pt>
                <c:pt idx="54">
                  <c:v>2956286.4660284566</c:v>
                </c:pt>
                <c:pt idx="55">
                  <c:v>1493737.44</c:v>
                </c:pt>
                <c:pt idx="56">
                  <c:v>3449450.2800000003</c:v>
                </c:pt>
                <c:pt idx="57">
                  <c:v>4049164.6865955601</c:v>
                </c:pt>
                <c:pt idx="58">
                  <c:v>3459066.6</c:v>
                </c:pt>
                <c:pt idx="59">
                  <c:v>5374086.6200000001</c:v>
                </c:pt>
                <c:pt idx="60">
                  <c:v>4234714.4042583341</c:v>
                </c:pt>
                <c:pt idx="61">
                  <c:v>4522351.6970592402</c:v>
                </c:pt>
                <c:pt idx="62">
                  <c:v>5119990.21</c:v>
                </c:pt>
                <c:pt idx="63">
                  <c:v>5689282.9444028419</c:v>
                </c:pt>
                <c:pt idx="64">
                  <c:v>4430626.8699999992</c:v>
                </c:pt>
                <c:pt idx="65">
                  <c:v>5729411.6456516022</c:v>
                </c:pt>
                <c:pt idx="66">
                  <c:v>5822082</c:v>
                </c:pt>
                <c:pt idx="67">
                  <c:v>6595280.9845005991</c:v>
                </c:pt>
                <c:pt idx="68">
                  <c:v>6545065.4000000004</c:v>
                </c:pt>
                <c:pt idx="69">
                  <c:v>7597862.4530119998</c:v>
                </c:pt>
                <c:pt idx="70">
                  <c:v>5554191.6829499984</c:v>
                </c:pt>
                <c:pt idx="71">
                  <c:v>7876315.7000000002</c:v>
                </c:pt>
                <c:pt idx="72">
                  <c:v>6389951.0800000001</c:v>
                </c:pt>
                <c:pt idx="73">
                  <c:v>6362903.8200000003</c:v>
                </c:pt>
                <c:pt idx="74">
                  <c:v>5301055.0102208108</c:v>
                </c:pt>
                <c:pt idx="75">
                  <c:v>7984837.3778056633</c:v>
                </c:pt>
                <c:pt idx="76">
                  <c:v>5489452.7999999998</c:v>
                </c:pt>
                <c:pt idx="77">
                  <c:v>7977978.89048554</c:v>
                </c:pt>
                <c:pt idx="78">
                  <c:v>6501616.2844825843</c:v>
                </c:pt>
                <c:pt idx="79">
                  <c:v>5109312</c:v>
                </c:pt>
                <c:pt idx="80">
                  <c:v>6462500</c:v>
                </c:pt>
                <c:pt idx="81">
                  <c:v>7925843.6639495995</c:v>
                </c:pt>
                <c:pt idx="82">
                  <c:v>8622391.4399999995</c:v>
                </c:pt>
                <c:pt idx="83">
                  <c:v>7162323.2999999998</c:v>
                </c:pt>
                <c:pt idx="84">
                  <c:v>8682633.1235200074</c:v>
                </c:pt>
                <c:pt idx="85">
                  <c:v>5447403.3070898019</c:v>
                </c:pt>
                <c:pt idx="86">
                  <c:v>7222260.6205347208</c:v>
                </c:pt>
                <c:pt idx="87">
                  <c:v>6792663.3600000003</c:v>
                </c:pt>
                <c:pt idx="88">
                  <c:v>4381454.2551317997</c:v>
                </c:pt>
                <c:pt idx="89">
                  <c:v>6912569.7199999997</c:v>
                </c:pt>
                <c:pt idx="90">
                  <c:v>8419027.4646319505</c:v>
                </c:pt>
                <c:pt idx="91">
                  <c:v>7535172.9442004496</c:v>
                </c:pt>
                <c:pt idx="92">
                  <c:v>4923424.2145723999</c:v>
                </c:pt>
                <c:pt idx="93">
                  <c:v>197440.07355139998</c:v>
                </c:pt>
                <c:pt idx="94">
                  <c:v>6772182.4500000002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67520"/>
        <c:axId val="175485696"/>
      </c:lineChart>
      <c:catAx>
        <c:axId val="1754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485696"/>
        <c:crosses val="autoZero"/>
        <c:auto val="1"/>
        <c:lblAlgn val="ctr"/>
        <c:lblOffset val="100"/>
        <c:noMultiLvlLbl val="0"/>
      </c:catAx>
      <c:valAx>
        <c:axId val="175485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5467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atthias\2008\IISG%20Nationale%20rekening\Bestanden%20Oscar%20Gelderblom\Foreign%20trade%20(Suga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"/>
      <sheetName val="Value production"/>
      <sheetName val="Value imports"/>
      <sheetName val="Cost&amp;benefits"/>
      <sheetName val="Profits refining"/>
      <sheetName val="Value added imports"/>
      <sheetName val="Imports (volume)"/>
      <sheetName val="Total sales"/>
      <sheetName val="Exports"/>
      <sheetName val="tariffs"/>
      <sheetName val="final results"/>
      <sheetName val="Estimate &amp; data"/>
      <sheetName val="Production"/>
      <sheetName val="VOC verkopen"/>
      <sheetName val="Aantal raffinaderijen"/>
      <sheetName val="Intake refineries"/>
      <sheetName val="Data imports"/>
      <sheetName val="Data 1667-1668"/>
      <sheetName val="Sugar to Baltic (annually)"/>
      <sheetName val="Sugar to Baltic (5yrs)"/>
      <sheetName val="Sugar Exports"/>
      <sheetName val="Sugar (VOC)"/>
      <sheetName val="Production Brazil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/>
      <sheetData sheetId="17">
        <row r="15">
          <cell r="C15">
            <v>3114058.0571699999</v>
          </cell>
        </row>
      </sheetData>
      <sheetData sheetId="18" refreshError="1"/>
      <sheetData sheetId="19" refreshError="1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G141"/>
  <sheetViews>
    <sheetView tabSelected="1" topLeftCell="A4" zoomScale="70" zoomScaleNormal="70" workbookViewId="0">
      <pane ySplit="1230" activePane="bottomLeft"/>
      <selection activeCell="AB6" sqref="AB6:AC6"/>
      <selection pane="bottomLeft" activeCell="AF41" sqref="AF41"/>
    </sheetView>
  </sheetViews>
  <sheetFormatPr defaultRowHeight="15" x14ac:dyDescent="0.25"/>
  <cols>
    <col min="1" max="1" width="9.28515625" style="5" bestFit="1" customWidth="1"/>
    <col min="2" max="2" width="9.140625" style="1"/>
    <col min="3" max="4" width="10.42578125" style="1" bestFit="1" customWidth="1"/>
    <col min="5" max="5" width="10" style="1" customWidth="1"/>
    <col min="6" max="6" width="9.42578125" style="1" bestFit="1" customWidth="1"/>
    <col min="7" max="7" width="9.140625" style="1"/>
    <col min="8" max="9" width="9.28515625" style="1" bestFit="1" customWidth="1"/>
    <col min="10" max="10" width="20.28515625" style="1" bestFit="1" customWidth="1"/>
    <col min="11" max="11" width="10.28515625" style="1" bestFit="1" customWidth="1"/>
    <col min="12" max="12" width="9.28515625" style="1" bestFit="1" customWidth="1"/>
    <col min="13" max="13" width="10.42578125" style="1" bestFit="1" customWidth="1"/>
    <col min="14" max="14" width="10.7109375" style="1" customWidth="1"/>
    <col min="15" max="15" width="10.28515625" style="1" bestFit="1" customWidth="1"/>
    <col min="16" max="16" width="9.42578125" style="1" bestFit="1" customWidth="1"/>
    <col min="17" max="17" width="10.140625" style="1" customWidth="1"/>
    <col min="18" max="18" width="10.28515625" style="1" bestFit="1" customWidth="1"/>
    <col min="19" max="19" width="10.140625" style="1" customWidth="1"/>
    <col min="20" max="20" width="8.5703125" style="3" customWidth="1"/>
    <col min="21" max="21" width="10.140625" style="1" bestFit="1" customWidth="1"/>
    <col min="22" max="22" width="9.28515625" style="1" bestFit="1" customWidth="1"/>
    <col min="23" max="23" width="10.140625" style="1" bestFit="1" customWidth="1"/>
    <col min="24" max="24" width="9.28515625" style="1" bestFit="1" customWidth="1"/>
    <col min="25" max="25" width="9.5703125" style="1" customWidth="1"/>
    <col min="26" max="26" width="10.140625" style="1" bestFit="1" customWidth="1"/>
    <col min="27" max="27" width="9.140625" style="1"/>
    <col min="28" max="28" width="10.7109375" style="1" customWidth="1"/>
    <col min="29" max="29" width="10.140625" style="1" customWidth="1"/>
    <col min="30" max="30" width="10.28515625" style="1" customWidth="1"/>
    <col min="31" max="31" width="9.28515625" style="1" bestFit="1" customWidth="1"/>
    <col min="32" max="32" width="10.140625" style="1" bestFit="1" customWidth="1"/>
    <col min="33" max="33" width="9.28515625" style="1" bestFit="1" customWidth="1"/>
    <col min="34" max="16384" width="9.140625" style="1"/>
  </cols>
  <sheetData>
    <row r="4" spans="1:33" x14ac:dyDescent="0.25">
      <c r="C4" s="2" t="s">
        <v>19</v>
      </c>
      <c r="H4" s="2" t="s">
        <v>18</v>
      </c>
      <c r="U4" s="2" t="s">
        <v>32</v>
      </c>
      <c r="AB4" s="2" t="s">
        <v>38</v>
      </c>
    </row>
    <row r="5" spans="1:33" x14ac:dyDescent="0.25">
      <c r="C5" s="1" t="s">
        <v>0</v>
      </c>
      <c r="H5" s="1" t="s">
        <v>20</v>
      </c>
      <c r="U5" s="1" t="s">
        <v>33</v>
      </c>
      <c r="AB5" s="2" t="s">
        <v>1</v>
      </c>
      <c r="AE5" s="2" t="s">
        <v>3</v>
      </c>
    </row>
    <row r="6" spans="1:33" x14ac:dyDescent="0.25">
      <c r="H6" s="2" t="s">
        <v>21</v>
      </c>
      <c r="M6" s="2" t="s">
        <v>26</v>
      </c>
      <c r="P6" s="2" t="s">
        <v>25</v>
      </c>
      <c r="U6" s="2" t="s">
        <v>21</v>
      </c>
      <c r="W6" s="2" t="s">
        <v>26</v>
      </c>
      <c r="Y6" s="2" t="s">
        <v>25</v>
      </c>
      <c r="AB6" s="1" t="s">
        <v>37</v>
      </c>
      <c r="AC6" s="1" t="s">
        <v>36</v>
      </c>
      <c r="AD6" s="1" t="s">
        <v>39</v>
      </c>
      <c r="AE6" s="1" t="s">
        <v>37</v>
      </c>
      <c r="AF6" s="1" t="s">
        <v>36</v>
      </c>
      <c r="AG6" s="1" t="s">
        <v>39</v>
      </c>
    </row>
    <row r="7" spans="1:33" x14ac:dyDescent="0.25">
      <c r="A7" s="6"/>
      <c r="C7" s="1" t="s">
        <v>1</v>
      </c>
      <c r="D7" s="1" t="s">
        <v>3</v>
      </c>
      <c r="E7" s="1" t="s">
        <v>4</v>
      </c>
      <c r="F7" s="1" t="s">
        <v>5</v>
      </c>
      <c r="H7" s="1" t="s">
        <v>22</v>
      </c>
      <c r="I7" s="1" t="s">
        <v>1</v>
      </c>
      <c r="J7" s="1" t="s">
        <v>1</v>
      </c>
      <c r="K7" s="1" t="s">
        <v>3</v>
      </c>
      <c r="L7" s="1" t="s">
        <v>22</v>
      </c>
      <c r="M7" s="1" t="s">
        <v>1</v>
      </c>
      <c r="N7" s="1" t="s">
        <v>1</v>
      </c>
      <c r="O7" s="1" t="s">
        <v>3</v>
      </c>
      <c r="P7" s="1" t="s">
        <v>22</v>
      </c>
      <c r="Q7" s="1" t="s">
        <v>1</v>
      </c>
      <c r="R7" s="1" t="s">
        <v>3</v>
      </c>
      <c r="T7" s="3" t="s">
        <v>34</v>
      </c>
      <c r="U7" s="1" t="s">
        <v>1</v>
      </c>
      <c r="V7" s="1" t="s">
        <v>3</v>
      </c>
      <c r="W7" s="1" t="s">
        <v>1</v>
      </c>
      <c r="X7" s="1" t="s">
        <v>3</v>
      </c>
      <c r="Y7" s="1" t="s">
        <v>1</v>
      </c>
      <c r="Z7" s="1" t="s">
        <v>3</v>
      </c>
      <c r="AB7" s="1" t="s">
        <v>1</v>
      </c>
      <c r="AC7" s="1" t="s">
        <v>1</v>
      </c>
      <c r="AD7" s="1" t="s">
        <v>1</v>
      </c>
      <c r="AE7" s="1" t="s">
        <v>3</v>
      </c>
      <c r="AF7" s="1" t="s">
        <v>3</v>
      </c>
      <c r="AG7" s="1" t="s">
        <v>3</v>
      </c>
    </row>
    <row r="8" spans="1:33" x14ac:dyDescent="0.25">
      <c r="A8" s="6"/>
      <c r="C8" s="1" t="s">
        <v>2</v>
      </c>
      <c r="D8" s="1" t="s">
        <v>2</v>
      </c>
      <c r="E8" s="1" t="s">
        <v>2</v>
      </c>
      <c r="F8" s="1" t="s">
        <v>2</v>
      </c>
      <c r="I8" s="1" t="s">
        <v>23</v>
      </c>
      <c r="J8" s="1" t="s">
        <v>24</v>
      </c>
      <c r="K8" s="1" t="s">
        <v>24</v>
      </c>
      <c r="M8" s="1" t="s">
        <v>23</v>
      </c>
      <c r="N8" s="1" t="s">
        <v>24</v>
      </c>
      <c r="O8" s="1" t="s">
        <v>24</v>
      </c>
      <c r="Q8" s="1" t="s">
        <v>24</v>
      </c>
      <c r="R8" s="1" t="s">
        <v>24</v>
      </c>
      <c r="T8" s="3" t="s">
        <v>35</v>
      </c>
      <c r="U8" s="1" t="s">
        <v>2</v>
      </c>
      <c r="V8" s="1" t="s">
        <v>2</v>
      </c>
      <c r="W8" s="1" t="s">
        <v>2</v>
      </c>
      <c r="X8" s="1" t="s">
        <v>2</v>
      </c>
      <c r="Y8" s="1" t="s">
        <v>2</v>
      </c>
      <c r="Z8" s="1" t="s">
        <v>2</v>
      </c>
      <c r="AB8" s="1" t="s">
        <v>2</v>
      </c>
      <c r="AC8" s="1" t="s">
        <v>2</v>
      </c>
      <c r="AD8" s="1" t="s">
        <v>2</v>
      </c>
      <c r="AE8" s="1" t="s">
        <v>2</v>
      </c>
      <c r="AF8" s="1" t="s">
        <v>2</v>
      </c>
      <c r="AG8" s="1" t="s">
        <v>2</v>
      </c>
    </row>
    <row r="9" spans="1:33" x14ac:dyDescent="0.25">
      <c r="A9" s="6">
        <v>1683</v>
      </c>
      <c r="P9" s="1">
        <v>15</v>
      </c>
      <c r="Q9" s="1">
        <v>4567225</v>
      </c>
      <c r="T9" s="3">
        <v>0.49408999999999997</v>
      </c>
      <c r="Y9" s="1">
        <f t="shared" ref="Y9:Y30" si="0">Q9*T9</f>
        <v>2256620.2002499998</v>
      </c>
      <c r="AB9" s="1">
        <f t="shared" ref="AB9:AB40" si="1">MIN(Y9,W9,U9,C9)</f>
        <v>2256620.2002499998</v>
      </c>
      <c r="AC9" s="1">
        <f t="shared" ref="AC9:AC40" si="2">MAX(Y9,W9,U9,C9)</f>
        <v>2256620.2002499998</v>
      </c>
      <c r="AD9" s="1">
        <f t="shared" ref="AD9:AD40" si="3">AVERAGE(C9,U9,W9,Y9)</f>
        <v>2256620.2002499998</v>
      </c>
    </row>
    <row r="10" spans="1:33" x14ac:dyDescent="0.25">
      <c r="A10" s="6">
        <v>1684</v>
      </c>
      <c r="P10" s="1">
        <v>22</v>
      </c>
      <c r="Q10" s="1">
        <v>5347260</v>
      </c>
      <c r="T10" s="3">
        <v>0.49408999999999997</v>
      </c>
      <c r="Y10" s="1">
        <f t="shared" si="0"/>
        <v>2642027.6933999998</v>
      </c>
      <c r="AB10" s="1">
        <f t="shared" si="1"/>
        <v>2642027.6933999998</v>
      </c>
      <c r="AC10" s="1">
        <f t="shared" si="2"/>
        <v>2642027.6933999998</v>
      </c>
      <c r="AD10" s="1">
        <f t="shared" si="3"/>
        <v>2642027.6933999998</v>
      </c>
    </row>
    <row r="11" spans="1:33" x14ac:dyDescent="0.25">
      <c r="A11" s="6">
        <v>1685</v>
      </c>
      <c r="P11" s="1">
        <v>15</v>
      </c>
      <c r="Q11" s="1">
        <v>3313469</v>
      </c>
      <c r="T11" s="3">
        <v>0.49408999999999997</v>
      </c>
      <c r="Y11" s="1">
        <f t="shared" si="0"/>
        <v>1637151.89821</v>
      </c>
      <c r="AB11" s="1">
        <f t="shared" si="1"/>
        <v>1637151.89821</v>
      </c>
      <c r="AC11" s="1">
        <f t="shared" si="2"/>
        <v>1637151.89821</v>
      </c>
      <c r="AD11" s="1">
        <f t="shared" si="3"/>
        <v>1637151.89821</v>
      </c>
    </row>
    <row r="12" spans="1:33" x14ac:dyDescent="0.25">
      <c r="A12" s="6">
        <v>1686</v>
      </c>
      <c r="P12" s="1">
        <v>14</v>
      </c>
      <c r="Q12" s="1">
        <v>3382059</v>
      </c>
      <c r="T12" s="3">
        <v>0.49408999999999997</v>
      </c>
      <c r="Y12" s="1">
        <f t="shared" si="0"/>
        <v>1671041.53131</v>
      </c>
      <c r="AB12" s="1">
        <f t="shared" si="1"/>
        <v>1671041.53131</v>
      </c>
      <c r="AC12" s="1">
        <f t="shared" si="2"/>
        <v>1671041.53131</v>
      </c>
      <c r="AD12" s="1">
        <f t="shared" si="3"/>
        <v>1671041.53131</v>
      </c>
    </row>
    <row r="13" spans="1:33" x14ac:dyDescent="0.25">
      <c r="A13" s="6">
        <v>1687</v>
      </c>
      <c r="P13" s="1">
        <v>10</v>
      </c>
      <c r="Q13" s="1">
        <v>5466384</v>
      </c>
      <c r="T13" s="3">
        <v>0.49408999999999997</v>
      </c>
      <c r="Y13" s="1">
        <f t="shared" si="0"/>
        <v>2700885.67056</v>
      </c>
      <c r="AB13" s="1">
        <f t="shared" si="1"/>
        <v>2700885.67056</v>
      </c>
      <c r="AC13" s="1">
        <f t="shared" si="2"/>
        <v>2700885.67056</v>
      </c>
      <c r="AD13" s="1">
        <f t="shared" si="3"/>
        <v>2700885.67056</v>
      </c>
    </row>
    <row r="14" spans="1:33" x14ac:dyDescent="0.25">
      <c r="A14" s="6">
        <v>1688</v>
      </c>
      <c r="P14" s="1">
        <v>15</v>
      </c>
      <c r="Q14" s="1">
        <v>7342662</v>
      </c>
      <c r="T14" s="3">
        <v>0.49408999999999997</v>
      </c>
      <c r="Y14" s="1">
        <f t="shared" si="0"/>
        <v>3627935.8675799998</v>
      </c>
      <c r="AB14" s="1">
        <f t="shared" si="1"/>
        <v>3627935.8675799998</v>
      </c>
      <c r="AC14" s="1">
        <f t="shared" si="2"/>
        <v>3627935.8675799998</v>
      </c>
      <c r="AD14" s="1">
        <f t="shared" si="3"/>
        <v>3627935.8675799998</v>
      </c>
    </row>
    <row r="15" spans="1:33" x14ac:dyDescent="0.25">
      <c r="A15" s="6">
        <v>1689</v>
      </c>
      <c r="P15" s="1">
        <v>18</v>
      </c>
      <c r="Q15" s="1">
        <v>6323338</v>
      </c>
      <c r="T15" s="3">
        <v>0.49408999999999997</v>
      </c>
      <c r="Y15" s="1">
        <f t="shared" si="0"/>
        <v>3124298.0724199996</v>
      </c>
      <c r="AB15" s="1">
        <f t="shared" si="1"/>
        <v>3124298.0724199996</v>
      </c>
      <c r="AC15" s="1">
        <f t="shared" si="2"/>
        <v>3124298.0724199996</v>
      </c>
      <c r="AD15" s="1">
        <f t="shared" si="3"/>
        <v>3124298.0724199996</v>
      </c>
    </row>
    <row r="16" spans="1:33" x14ac:dyDescent="0.25">
      <c r="A16" s="6">
        <v>1690</v>
      </c>
      <c r="P16" s="1">
        <v>11</v>
      </c>
      <c r="Q16" s="1">
        <v>4335725</v>
      </c>
      <c r="T16" s="3">
        <v>0.49408999999999997</v>
      </c>
      <c r="Y16" s="1">
        <f t="shared" si="0"/>
        <v>2142238.3652499998</v>
      </c>
      <c r="AB16" s="1">
        <f t="shared" si="1"/>
        <v>2142238.3652499998</v>
      </c>
      <c r="AC16" s="1">
        <f t="shared" si="2"/>
        <v>2142238.3652499998</v>
      </c>
      <c r="AD16" s="1">
        <f t="shared" si="3"/>
        <v>2142238.3652499998</v>
      </c>
    </row>
    <row r="17" spans="1:30" x14ac:dyDescent="0.25">
      <c r="A17" s="6">
        <v>1691</v>
      </c>
      <c r="P17" s="1">
        <v>14</v>
      </c>
      <c r="Q17" s="1">
        <v>5349578</v>
      </c>
      <c r="T17" s="3">
        <v>0.49408999999999997</v>
      </c>
      <c r="Y17" s="1">
        <f t="shared" si="0"/>
        <v>2643172.9940199996</v>
      </c>
      <c r="AB17" s="1">
        <f t="shared" si="1"/>
        <v>2643172.9940199996</v>
      </c>
      <c r="AC17" s="1">
        <f t="shared" si="2"/>
        <v>2643172.9940199996</v>
      </c>
      <c r="AD17" s="1">
        <f t="shared" si="3"/>
        <v>2643172.9940199996</v>
      </c>
    </row>
    <row r="18" spans="1:30" x14ac:dyDescent="0.25">
      <c r="A18" s="6">
        <v>1692</v>
      </c>
      <c r="P18" s="1">
        <v>8</v>
      </c>
      <c r="Q18" s="1">
        <v>3667530</v>
      </c>
      <c r="T18" s="3">
        <v>0.49408999999999997</v>
      </c>
      <c r="Y18" s="1">
        <f t="shared" si="0"/>
        <v>1812089.8976999999</v>
      </c>
      <c r="AB18" s="1">
        <f t="shared" si="1"/>
        <v>1812089.8976999999</v>
      </c>
      <c r="AC18" s="1">
        <f t="shared" si="2"/>
        <v>1812089.8976999999</v>
      </c>
      <c r="AD18" s="1">
        <f t="shared" si="3"/>
        <v>1812089.8976999999</v>
      </c>
    </row>
    <row r="19" spans="1:30" x14ac:dyDescent="0.25">
      <c r="A19" s="6">
        <v>1693</v>
      </c>
      <c r="P19" s="1">
        <v>9</v>
      </c>
      <c r="Q19" s="1">
        <v>4112065</v>
      </c>
      <c r="T19" s="3">
        <v>0.49408999999999997</v>
      </c>
      <c r="Y19" s="1">
        <f t="shared" si="0"/>
        <v>2031730.1958499998</v>
      </c>
      <c r="AB19" s="1">
        <f t="shared" si="1"/>
        <v>2031730.1958499998</v>
      </c>
      <c r="AC19" s="1">
        <f t="shared" si="2"/>
        <v>2031730.1958499998</v>
      </c>
      <c r="AD19" s="1">
        <f t="shared" si="3"/>
        <v>2031730.1958499998</v>
      </c>
    </row>
    <row r="20" spans="1:30" x14ac:dyDescent="0.25">
      <c r="A20" s="6">
        <v>1694</v>
      </c>
      <c r="P20" s="1">
        <v>16</v>
      </c>
      <c r="Q20" s="1">
        <v>8599290</v>
      </c>
      <c r="T20" s="3">
        <v>0.49408999999999997</v>
      </c>
      <c r="Y20" s="1">
        <f t="shared" si="0"/>
        <v>4248823.1960999994</v>
      </c>
      <c r="AB20" s="1">
        <f t="shared" si="1"/>
        <v>4248823.1960999994</v>
      </c>
      <c r="AC20" s="1">
        <f t="shared" si="2"/>
        <v>4248823.1960999994</v>
      </c>
      <c r="AD20" s="1">
        <f t="shared" si="3"/>
        <v>4248823.1960999994</v>
      </c>
    </row>
    <row r="21" spans="1:30" x14ac:dyDescent="0.25">
      <c r="A21" s="6">
        <v>1695</v>
      </c>
      <c r="P21" s="1">
        <v>21</v>
      </c>
      <c r="Q21" s="1">
        <v>11214050</v>
      </c>
      <c r="T21" s="3">
        <v>0.49408999999999997</v>
      </c>
      <c r="Y21" s="1">
        <f t="shared" si="0"/>
        <v>5540749.9644999998</v>
      </c>
      <c r="AB21" s="1">
        <f t="shared" si="1"/>
        <v>5540749.9644999998</v>
      </c>
      <c r="AC21" s="1">
        <f t="shared" si="2"/>
        <v>5540749.9644999998</v>
      </c>
      <c r="AD21" s="1">
        <f t="shared" si="3"/>
        <v>5540749.9644999998</v>
      </c>
    </row>
    <row r="22" spans="1:30" x14ac:dyDescent="0.25">
      <c r="A22" s="6">
        <v>1696</v>
      </c>
      <c r="P22" s="1">
        <v>18</v>
      </c>
      <c r="Q22" s="1">
        <v>6671800</v>
      </c>
      <c r="T22" s="3">
        <v>0.49408999999999997</v>
      </c>
      <c r="Y22" s="1">
        <f t="shared" si="0"/>
        <v>3296469.662</v>
      </c>
      <c r="AB22" s="1">
        <f t="shared" si="1"/>
        <v>3296469.662</v>
      </c>
      <c r="AC22" s="1">
        <f t="shared" si="2"/>
        <v>3296469.662</v>
      </c>
      <c r="AD22" s="1">
        <f t="shared" si="3"/>
        <v>3296469.662</v>
      </c>
    </row>
    <row r="23" spans="1:30" x14ac:dyDescent="0.25">
      <c r="A23" s="6">
        <v>1697</v>
      </c>
      <c r="P23" s="1">
        <v>18</v>
      </c>
      <c r="Q23" s="1">
        <v>9911800</v>
      </c>
      <c r="T23" s="3">
        <v>0.49408999999999997</v>
      </c>
      <c r="Y23" s="1">
        <f t="shared" si="0"/>
        <v>4897321.2620000001</v>
      </c>
      <c r="AB23" s="1">
        <f t="shared" si="1"/>
        <v>4897321.2620000001</v>
      </c>
      <c r="AC23" s="1">
        <f t="shared" si="2"/>
        <v>4897321.2620000001</v>
      </c>
      <c r="AD23" s="1">
        <f t="shared" si="3"/>
        <v>4897321.2620000001</v>
      </c>
    </row>
    <row r="24" spans="1:30" x14ac:dyDescent="0.25">
      <c r="A24" s="6">
        <v>1698</v>
      </c>
      <c r="P24" s="1">
        <v>9</v>
      </c>
      <c r="Q24" s="1">
        <v>4558210</v>
      </c>
      <c r="T24" s="3">
        <v>0.49408999999999997</v>
      </c>
      <c r="Y24" s="1">
        <f t="shared" si="0"/>
        <v>2252165.9789</v>
      </c>
      <c r="AB24" s="1">
        <f t="shared" si="1"/>
        <v>2252165.9789</v>
      </c>
      <c r="AC24" s="1">
        <f t="shared" si="2"/>
        <v>2252165.9789</v>
      </c>
      <c r="AD24" s="1">
        <f t="shared" si="3"/>
        <v>2252165.9789</v>
      </c>
    </row>
    <row r="25" spans="1:30" x14ac:dyDescent="0.25">
      <c r="A25" s="6">
        <v>1699</v>
      </c>
      <c r="P25" s="1">
        <v>15</v>
      </c>
      <c r="Q25" s="1">
        <v>6759895</v>
      </c>
      <c r="T25" s="3">
        <v>0.49408999999999997</v>
      </c>
      <c r="Y25" s="1">
        <f t="shared" si="0"/>
        <v>3339996.52055</v>
      </c>
      <c r="AB25" s="1">
        <f t="shared" si="1"/>
        <v>3339996.52055</v>
      </c>
      <c r="AC25" s="1">
        <f t="shared" si="2"/>
        <v>3339996.52055</v>
      </c>
      <c r="AD25" s="1">
        <f t="shared" si="3"/>
        <v>3339996.52055</v>
      </c>
    </row>
    <row r="26" spans="1:30" x14ac:dyDescent="0.25">
      <c r="A26" s="4">
        <v>1700</v>
      </c>
      <c r="C26" s="1">
        <v>3465000</v>
      </c>
      <c r="I26" s="1">
        <v>10500</v>
      </c>
      <c r="J26" s="1">
        <v>8400000</v>
      </c>
      <c r="P26" s="1">
        <v>14</v>
      </c>
      <c r="Q26" s="1">
        <v>6591114</v>
      </c>
      <c r="T26" s="3">
        <v>0.49408999999999997</v>
      </c>
      <c r="U26" s="1">
        <f>J26*T26</f>
        <v>4150356</v>
      </c>
      <c r="Y26" s="1">
        <f t="shared" si="0"/>
        <v>3256603.5162599999</v>
      </c>
      <c r="AB26" s="1">
        <f t="shared" si="1"/>
        <v>3256603.5162599999</v>
      </c>
      <c r="AC26" s="1">
        <f t="shared" si="2"/>
        <v>4150356</v>
      </c>
      <c r="AD26" s="1">
        <f t="shared" si="3"/>
        <v>3623986.5054199998</v>
      </c>
    </row>
    <row r="27" spans="1:30" x14ac:dyDescent="0.25">
      <c r="A27" s="4">
        <v>1701</v>
      </c>
      <c r="C27" s="1">
        <v>3481000</v>
      </c>
      <c r="I27" s="1">
        <v>10550</v>
      </c>
      <c r="J27" s="1">
        <v>8440000</v>
      </c>
      <c r="L27" s="1">
        <v>16</v>
      </c>
      <c r="M27" s="1">
        <v>10814</v>
      </c>
      <c r="N27" s="1">
        <v>8651200</v>
      </c>
      <c r="P27" s="1">
        <v>16</v>
      </c>
      <c r="Q27" s="1">
        <v>9121784</v>
      </c>
      <c r="T27" s="3">
        <v>0.49408999999999997</v>
      </c>
      <c r="U27" s="1">
        <f>J27*T27</f>
        <v>4170119.5999999996</v>
      </c>
      <c r="W27" s="1">
        <f>N27*T27</f>
        <v>4274471.4079999998</v>
      </c>
      <c r="Y27" s="1">
        <f t="shared" si="0"/>
        <v>4506982.2565599997</v>
      </c>
      <c r="AB27" s="1">
        <f t="shared" si="1"/>
        <v>3481000</v>
      </c>
      <c r="AC27" s="1">
        <f t="shared" si="2"/>
        <v>4506982.2565599997</v>
      </c>
      <c r="AD27" s="1">
        <f t="shared" si="3"/>
        <v>4108143.3161399998</v>
      </c>
    </row>
    <row r="28" spans="1:30" x14ac:dyDescent="0.25">
      <c r="A28" s="4">
        <v>1702</v>
      </c>
      <c r="C28" s="1">
        <v>3488760</v>
      </c>
      <c r="I28" s="1">
        <v>10572</v>
      </c>
      <c r="J28" s="1">
        <v>8457600</v>
      </c>
      <c r="L28" s="1">
        <v>26</v>
      </c>
      <c r="M28" s="1">
        <v>16460</v>
      </c>
      <c r="N28" s="1">
        <v>13168000</v>
      </c>
      <c r="P28" s="1">
        <v>26</v>
      </c>
      <c r="Q28" s="1">
        <v>13159414</v>
      </c>
      <c r="T28" s="3">
        <v>0.49408999999999997</v>
      </c>
      <c r="U28" s="1">
        <f>J28*T28</f>
        <v>4178815.5839999998</v>
      </c>
      <c r="W28" s="1">
        <f>N28*T28</f>
        <v>6506177.1200000001</v>
      </c>
      <c r="Y28" s="1">
        <f t="shared" si="0"/>
        <v>6501934.86326</v>
      </c>
      <c r="AB28" s="1">
        <f t="shared" si="1"/>
        <v>3488760</v>
      </c>
      <c r="AC28" s="1">
        <f t="shared" si="2"/>
        <v>6506177.1200000001</v>
      </c>
      <c r="AD28" s="1">
        <f t="shared" si="3"/>
        <v>5168921.8918150002</v>
      </c>
    </row>
    <row r="29" spans="1:30" x14ac:dyDescent="0.25">
      <c r="A29" s="4">
        <v>1703</v>
      </c>
      <c r="C29" s="1">
        <v>3531000</v>
      </c>
      <c r="I29" s="1">
        <v>10700</v>
      </c>
      <c r="J29" s="1">
        <v>8560000</v>
      </c>
      <c r="L29" s="1">
        <v>19</v>
      </c>
      <c r="M29" s="1">
        <v>14225</v>
      </c>
      <c r="N29" s="1">
        <v>11380000</v>
      </c>
      <c r="P29" s="1">
        <v>18</v>
      </c>
      <c r="Q29" s="1">
        <v>11377625</v>
      </c>
      <c r="T29" s="3">
        <v>0.49408999999999997</v>
      </c>
      <c r="U29" s="1">
        <f>J29*T29</f>
        <v>4229410.3999999994</v>
      </c>
      <c r="W29" s="1">
        <f>N29*T29</f>
        <v>5622744.1999999993</v>
      </c>
      <c r="Y29" s="1">
        <f t="shared" si="0"/>
        <v>5621570.7362500001</v>
      </c>
      <c r="AB29" s="1">
        <f t="shared" si="1"/>
        <v>3531000</v>
      </c>
      <c r="AC29" s="1">
        <f t="shared" si="2"/>
        <v>5622744.1999999993</v>
      </c>
      <c r="AD29" s="1">
        <f t="shared" si="3"/>
        <v>4751181.3340624999</v>
      </c>
    </row>
    <row r="30" spans="1:30" x14ac:dyDescent="0.25">
      <c r="A30" s="4">
        <v>1704</v>
      </c>
      <c r="C30" s="1">
        <v>3993000</v>
      </c>
      <c r="I30" s="1">
        <v>12100</v>
      </c>
      <c r="J30" s="1">
        <v>9680000</v>
      </c>
      <c r="L30" s="1">
        <v>14</v>
      </c>
      <c r="M30" s="1">
        <v>10206</v>
      </c>
      <c r="N30" s="1">
        <v>8164800</v>
      </c>
      <c r="P30" s="1">
        <v>14</v>
      </c>
      <c r="Q30" s="1">
        <v>8165800</v>
      </c>
      <c r="T30" s="3">
        <v>0.49408999999999997</v>
      </c>
      <c r="U30" s="1">
        <f>J30*T30</f>
        <v>4782791.2</v>
      </c>
      <c r="W30" s="1">
        <f>N30*T30</f>
        <v>4034146.0319999997</v>
      </c>
      <c r="Y30" s="1">
        <f t="shared" si="0"/>
        <v>4034640.122</v>
      </c>
      <c r="AB30" s="1">
        <f t="shared" si="1"/>
        <v>3993000</v>
      </c>
      <c r="AC30" s="1">
        <f t="shared" si="2"/>
        <v>4782791.2</v>
      </c>
      <c r="AD30" s="1">
        <f t="shared" si="3"/>
        <v>4211144.3384999996</v>
      </c>
    </row>
    <row r="31" spans="1:30" x14ac:dyDescent="0.25">
      <c r="A31" s="4">
        <v>1705</v>
      </c>
      <c r="C31" s="1">
        <v>4243800</v>
      </c>
      <c r="I31" s="1">
        <v>12860</v>
      </c>
      <c r="J31" s="1">
        <v>10288000</v>
      </c>
      <c r="L31" s="1">
        <v>18</v>
      </c>
      <c r="M31" s="1">
        <v>13800</v>
      </c>
      <c r="N31" s="1">
        <v>11040000</v>
      </c>
      <c r="P31" s="1">
        <v>18</v>
      </c>
      <c r="Q31" s="1">
        <v>11029050</v>
      </c>
      <c r="T31" s="3">
        <v>0.49408999999999997</v>
      </c>
      <c r="U31" s="1">
        <f t="shared" ref="U31:U35" si="4">J31*T31</f>
        <v>5083197.92</v>
      </c>
      <c r="W31" s="1">
        <f t="shared" ref="W31:W35" si="5">N31*T31</f>
        <v>5454753.5999999996</v>
      </c>
      <c r="Y31" s="1">
        <f t="shared" ref="Y31:Y35" si="6">Q31*T31</f>
        <v>5449343.3144999994</v>
      </c>
      <c r="AB31" s="1">
        <f t="shared" si="1"/>
        <v>4243800</v>
      </c>
      <c r="AC31" s="1">
        <f t="shared" si="2"/>
        <v>5454753.5999999996</v>
      </c>
      <c r="AD31" s="1">
        <f t="shared" si="3"/>
        <v>5057773.708625</v>
      </c>
    </row>
    <row r="32" spans="1:30" x14ac:dyDescent="0.25">
      <c r="A32" s="4">
        <v>1706</v>
      </c>
      <c r="C32" s="1">
        <v>484523</v>
      </c>
      <c r="H32" s="1">
        <v>16</v>
      </c>
      <c r="I32" s="1">
        <v>1463</v>
      </c>
      <c r="J32" s="1">
        <v>1170600</v>
      </c>
      <c r="L32" s="1">
        <v>16</v>
      </c>
      <c r="M32" s="1">
        <v>13792</v>
      </c>
      <c r="N32" s="1">
        <v>11033600</v>
      </c>
      <c r="P32" s="1">
        <v>16</v>
      </c>
      <c r="Q32" s="1">
        <v>11033300</v>
      </c>
      <c r="T32" s="3">
        <v>0.49408999999999997</v>
      </c>
      <c r="U32" s="1">
        <f t="shared" si="4"/>
        <v>578381.75399999996</v>
      </c>
      <c r="W32" s="1">
        <f t="shared" si="5"/>
        <v>5451591.4239999996</v>
      </c>
      <c r="Y32" s="1">
        <f t="shared" si="6"/>
        <v>5451443.1969999997</v>
      </c>
      <c r="AB32" s="1">
        <f t="shared" si="1"/>
        <v>484523</v>
      </c>
      <c r="AC32" s="1">
        <f t="shared" si="2"/>
        <v>5451591.4239999996</v>
      </c>
      <c r="AD32" s="1">
        <f t="shared" si="3"/>
        <v>2991484.84375</v>
      </c>
    </row>
    <row r="33" spans="1:30" x14ac:dyDescent="0.25">
      <c r="A33" s="4">
        <v>1707</v>
      </c>
      <c r="C33" s="1">
        <v>6104753</v>
      </c>
      <c r="H33" s="1">
        <v>20</v>
      </c>
      <c r="I33" s="1">
        <v>18499</v>
      </c>
      <c r="J33" s="1">
        <v>14799400</v>
      </c>
      <c r="L33" s="1">
        <v>20</v>
      </c>
      <c r="M33" s="1">
        <v>17430</v>
      </c>
      <c r="N33" s="1">
        <v>13944000</v>
      </c>
      <c r="P33" s="1">
        <v>20</v>
      </c>
      <c r="Q33" s="1">
        <v>13954200</v>
      </c>
      <c r="T33" s="3">
        <v>0.49408999999999997</v>
      </c>
      <c r="U33" s="1">
        <f t="shared" si="4"/>
        <v>7312235.5459999992</v>
      </c>
      <c r="W33" s="1">
        <f t="shared" si="5"/>
        <v>6889590.96</v>
      </c>
      <c r="Y33" s="1">
        <f t="shared" si="6"/>
        <v>6894630.6779999994</v>
      </c>
      <c r="AB33" s="1">
        <f t="shared" si="1"/>
        <v>6104753</v>
      </c>
      <c r="AC33" s="1">
        <f t="shared" si="2"/>
        <v>7312235.5459999992</v>
      </c>
      <c r="AD33" s="1">
        <f t="shared" si="3"/>
        <v>6800302.5460000001</v>
      </c>
    </row>
    <row r="34" spans="1:30" x14ac:dyDescent="0.25">
      <c r="A34" s="4">
        <v>1708</v>
      </c>
      <c r="C34" s="1">
        <v>4001333</v>
      </c>
      <c r="H34" s="1">
        <v>14</v>
      </c>
      <c r="I34" s="1">
        <v>12125</v>
      </c>
      <c r="J34" s="1">
        <v>9700200</v>
      </c>
      <c r="L34" s="1">
        <v>14</v>
      </c>
      <c r="M34" s="1">
        <v>11642</v>
      </c>
      <c r="N34" s="1">
        <v>9313600</v>
      </c>
      <c r="P34" s="1">
        <v>14</v>
      </c>
      <c r="Q34" s="1">
        <v>9311800</v>
      </c>
      <c r="T34" s="3">
        <v>0.49408999999999997</v>
      </c>
      <c r="U34" s="1">
        <f t="shared" si="4"/>
        <v>4792771.818</v>
      </c>
      <c r="W34" s="1">
        <f t="shared" si="5"/>
        <v>4601756.6239999998</v>
      </c>
      <c r="Y34" s="1">
        <f t="shared" si="6"/>
        <v>4600867.2620000001</v>
      </c>
      <c r="AB34" s="1">
        <f t="shared" si="1"/>
        <v>4001333</v>
      </c>
      <c r="AC34" s="1">
        <f t="shared" si="2"/>
        <v>4792771.818</v>
      </c>
      <c r="AD34" s="1">
        <f t="shared" si="3"/>
        <v>4499182.176</v>
      </c>
    </row>
    <row r="35" spans="1:30" x14ac:dyDescent="0.25">
      <c r="A35" s="4">
        <v>1709</v>
      </c>
      <c r="C35" s="1">
        <v>6072330</v>
      </c>
      <c r="H35" s="1">
        <v>13</v>
      </c>
      <c r="I35" s="1">
        <v>18401</v>
      </c>
      <c r="J35" s="1">
        <v>14720800</v>
      </c>
      <c r="L35" s="1">
        <v>20</v>
      </c>
      <c r="M35" s="1">
        <v>17514</v>
      </c>
      <c r="N35" s="1">
        <v>14011200</v>
      </c>
      <c r="P35" s="1">
        <v>20</v>
      </c>
      <c r="Q35" s="1">
        <v>14001800</v>
      </c>
      <c r="T35" s="3">
        <v>0.49408999999999997</v>
      </c>
      <c r="U35" s="1">
        <f t="shared" si="4"/>
        <v>7273400.0719999997</v>
      </c>
      <c r="W35" s="1">
        <f t="shared" si="5"/>
        <v>6922793.8079999993</v>
      </c>
      <c r="Y35" s="1">
        <f t="shared" si="6"/>
        <v>6918149.3619999997</v>
      </c>
      <c r="AB35" s="1">
        <f t="shared" si="1"/>
        <v>6072330</v>
      </c>
      <c r="AC35" s="1">
        <f t="shared" si="2"/>
        <v>7273400.0719999997</v>
      </c>
      <c r="AD35" s="1">
        <f t="shared" si="3"/>
        <v>6796668.3104999997</v>
      </c>
    </row>
    <row r="36" spans="1:30" x14ac:dyDescent="0.25">
      <c r="A36" s="4">
        <v>1710</v>
      </c>
      <c r="C36" s="1">
        <v>5168130</v>
      </c>
      <c r="H36" s="1">
        <v>17</v>
      </c>
      <c r="I36" s="1">
        <v>15661</v>
      </c>
      <c r="J36" s="1">
        <v>12528800</v>
      </c>
      <c r="L36" s="1">
        <v>17</v>
      </c>
      <c r="M36" s="1">
        <v>15121</v>
      </c>
      <c r="N36" s="1">
        <v>12096800</v>
      </c>
      <c r="P36" s="1">
        <v>17</v>
      </c>
      <c r="Q36" s="1">
        <v>12096800</v>
      </c>
      <c r="T36" s="3">
        <v>0.49408999999999997</v>
      </c>
      <c r="U36" s="1">
        <f>J36*T36</f>
        <v>6190354.7919999994</v>
      </c>
      <c r="W36" s="1">
        <f>N36*T36</f>
        <v>5976907.9119999995</v>
      </c>
      <c r="Y36" s="1">
        <f>Q36*T36</f>
        <v>5976907.9119999995</v>
      </c>
      <c r="AB36" s="1">
        <f t="shared" si="1"/>
        <v>5168130</v>
      </c>
      <c r="AC36" s="1">
        <f t="shared" si="2"/>
        <v>6190354.7919999994</v>
      </c>
      <c r="AD36" s="1">
        <f t="shared" si="3"/>
        <v>5828075.1540000001</v>
      </c>
    </row>
    <row r="37" spans="1:30" x14ac:dyDescent="0.25">
      <c r="A37" s="4">
        <v>1711</v>
      </c>
      <c r="C37" s="1">
        <v>7110263</v>
      </c>
      <c r="H37" s="1">
        <v>21</v>
      </c>
      <c r="I37" s="1">
        <v>21546</v>
      </c>
      <c r="J37" s="1">
        <v>17237000</v>
      </c>
      <c r="L37" s="1">
        <v>21</v>
      </c>
      <c r="M37" s="1">
        <v>20825</v>
      </c>
      <c r="N37" s="1">
        <v>16660000</v>
      </c>
      <c r="P37" s="1">
        <v>21</v>
      </c>
      <c r="Q37" s="1">
        <v>16660200</v>
      </c>
      <c r="T37" s="3">
        <v>0.49408999999999997</v>
      </c>
      <c r="U37" s="1">
        <f>J37*T37</f>
        <v>8516629.3300000001</v>
      </c>
      <c r="W37" s="1">
        <f>N37*T37</f>
        <v>8231539.3999999994</v>
      </c>
      <c r="Y37" s="1">
        <f>Q37*T37</f>
        <v>8231638.2179999994</v>
      </c>
      <c r="AB37" s="1">
        <f t="shared" si="1"/>
        <v>7110263</v>
      </c>
      <c r="AC37" s="1">
        <f t="shared" si="2"/>
        <v>8516629.3300000001</v>
      </c>
      <c r="AD37" s="1">
        <f t="shared" si="3"/>
        <v>8022517.4869999997</v>
      </c>
    </row>
    <row r="38" spans="1:30" x14ac:dyDescent="0.25">
      <c r="A38" s="4">
        <v>1712</v>
      </c>
      <c r="C38" s="1">
        <v>7489515</v>
      </c>
      <c r="H38" s="1">
        <v>29</v>
      </c>
      <c r="I38" s="1">
        <v>22696</v>
      </c>
      <c r="J38" s="1">
        <v>18156400</v>
      </c>
      <c r="L38" s="1">
        <v>29</v>
      </c>
      <c r="M38" s="1">
        <v>21965</v>
      </c>
      <c r="N38" s="1">
        <v>17572000</v>
      </c>
      <c r="P38" s="1">
        <v>28</v>
      </c>
      <c r="Q38" s="1">
        <v>17565200</v>
      </c>
      <c r="T38" s="3">
        <v>0.49408999999999997</v>
      </c>
      <c r="U38" s="1">
        <f>J38*T38</f>
        <v>8970895.675999999</v>
      </c>
      <c r="W38" s="1">
        <f>N38*T38</f>
        <v>8682149.4800000004</v>
      </c>
      <c r="Y38" s="1">
        <f>Q38*T38</f>
        <v>8678789.6679999996</v>
      </c>
      <c r="AB38" s="1">
        <f t="shared" si="1"/>
        <v>7489515</v>
      </c>
      <c r="AC38" s="1">
        <f t="shared" si="2"/>
        <v>8970895.675999999</v>
      </c>
      <c r="AD38" s="1">
        <f t="shared" si="3"/>
        <v>8455337.4560000002</v>
      </c>
    </row>
    <row r="39" spans="1:30" x14ac:dyDescent="0.25">
      <c r="A39" s="4">
        <v>1713</v>
      </c>
      <c r="C39" s="1">
        <v>4807605</v>
      </c>
      <c r="H39" s="1">
        <v>17</v>
      </c>
      <c r="I39" s="1">
        <v>14569</v>
      </c>
      <c r="J39" s="1">
        <v>11654800</v>
      </c>
      <c r="L39" s="1">
        <v>17</v>
      </c>
      <c r="M39" s="1">
        <v>14346</v>
      </c>
      <c r="N39" s="1">
        <v>11476800</v>
      </c>
      <c r="P39" s="1">
        <v>16</v>
      </c>
      <c r="Q39" s="1">
        <v>11478700</v>
      </c>
      <c r="T39" s="3">
        <v>0.49408999999999997</v>
      </c>
      <c r="U39" s="1">
        <f>J39*T39</f>
        <v>5758520.1319999993</v>
      </c>
      <c r="W39" s="1">
        <f>N39*T39</f>
        <v>5670572.1119999997</v>
      </c>
      <c r="Y39" s="1">
        <f>Q39*T39</f>
        <v>5671510.8829999994</v>
      </c>
      <c r="AB39" s="1">
        <f t="shared" si="1"/>
        <v>4807605</v>
      </c>
      <c r="AC39" s="1">
        <f t="shared" si="2"/>
        <v>5758520.1319999993</v>
      </c>
      <c r="AD39" s="1">
        <f t="shared" si="3"/>
        <v>5477052.0317499992</v>
      </c>
    </row>
    <row r="40" spans="1:30" x14ac:dyDescent="0.25">
      <c r="A40" s="4">
        <v>1714</v>
      </c>
      <c r="C40" s="1">
        <v>7269405</v>
      </c>
      <c r="H40" s="1">
        <v>22</v>
      </c>
      <c r="I40" s="1">
        <v>22028</v>
      </c>
      <c r="J40" s="1">
        <v>17622720</v>
      </c>
      <c r="L40" s="1">
        <v>22</v>
      </c>
      <c r="M40" s="1">
        <v>21091</v>
      </c>
      <c r="N40" s="1">
        <v>16872800</v>
      </c>
      <c r="P40" s="1">
        <v>22</v>
      </c>
      <c r="Q40" s="1">
        <v>16876600</v>
      </c>
      <c r="T40" s="3">
        <v>0.49408999999999997</v>
      </c>
      <c r="U40" s="1">
        <f t="shared" ref="U40:U44" si="7">J40*T40</f>
        <v>8707209.7248</v>
      </c>
      <c r="W40" s="1">
        <f t="shared" ref="W40:W44" si="8">N40*T40</f>
        <v>8336681.7519999994</v>
      </c>
      <c r="Y40" s="1">
        <f t="shared" ref="Y40:Y44" si="9">Q40*T40</f>
        <v>8338559.2939999998</v>
      </c>
      <c r="AB40" s="1">
        <f t="shared" si="1"/>
        <v>7269405</v>
      </c>
      <c r="AC40" s="1">
        <f t="shared" si="2"/>
        <v>8707209.7248</v>
      </c>
      <c r="AD40" s="1">
        <f t="shared" si="3"/>
        <v>8162963.9426999995</v>
      </c>
    </row>
    <row r="41" spans="1:30" x14ac:dyDescent="0.25">
      <c r="A41" s="4">
        <v>1715</v>
      </c>
      <c r="C41" s="1">
        <v>6445643</v>
      </c>
      <c r="H41" s="1">
        <v>24</v>
      </c>
      <c r="I41" s="1">
        <v>19532</v>
      </c>
      <c r="J41" s="1">
        <v>15625800</v>
      </c>
      <c r="L41" s="1">
        <v>24</v>
      </c>
      <c r="M41" s="1">
        <v>18802</v>
      </c>
      <c r="N41" s="1">
        <v>15041600</v>
      </c>
      <c r="P41" s="1">
        <v>23</v>
      </c>
      <c r="Q41" s="1">
        <v>15023700</v>
      </c>
      <c r="T41" s="3">
        <v>0.49408999999999997</v>
      </c>
      <c r="U41" s="1">
        <f t="shared" si="7"/>
        <v>7720551.5219999999</v>
      </c>
      <c r="W41" s="1">
        <f t="shared" si="8"/>
        <v>7431904.1439999994</v>
      </c>
      <c r="Y41" s="1">
        <f t="shared" si="9"/>
        <v>7423059.9329999993</v>
      </c>
      <c r="AB41" s="1">
        <f t="shared" ref="AB41:AB72" si="10">MIN(Y41,W41,U41,C41)</f>
        <v>6445643</v>
      </c>
      <c r="AC41" s="1">
        <f t="shared" ref="AC41:AC72" si="11">MAX(Y41,W41,U41,C41)</f>
        <v>7720551.5219999999</v>
      </c>
      <c r="AD41" s="1">
        <f t="shared" ref="AD41:AD72" si="12">AVERAGE(C41,U41,W41,Y41)</f>
        <v>7255289.6497499999</v>
      </c>
    </row>
    <row r="42" spans="1:30" x14ac:dyDescent="0.25">
      <c r="A42" s="4">
        <v>1716</v>
      </c>
      <c r="C42" s="1">
        <v>5820953</v>
      </c>
      <c r="H42" s="1">
        <v>23</v>
      </c>
      <c r="I42" s="1">
        <v>17639</v>
      </c>
      <c r="J42" s="1">
        <v>14111400</v>
      </c>
      <c r="L42" s="1">
        <v>23</v>
      </c>
      <c r="M42" s="1">
        <v>16936</v>
      </c>
      <c r="N42" s="1">
        <v>13548800</v>
      </c>
      <c r="P42" s="1">
        <v>22</v>
      </c>
      <c r="Q42" s="1">
        <v>13552700</v>
      </c>
      <c r="T42" s="3">
        <v>0.49408999999999997</v>
      </c>
      <c r="U42" s="1">
        <f t="shared" si="7"/>
        <v>6972301.6259999992</v>
      </c>
      <c r="W42" s="1">
        <f t="shared" si="8"/>
        <v>6694326.5919999992</v>
      </c>
      <c r="Y42" s="1">
        <f t="shared" si="9"/>
        <v>6696253.5429999996</v>
      </c>
      <c r="AB42" s="1">
        <f t="shared" si="10"/>
        <v>5820953</v>
      </c>
      <c r="AC42" s="1">
        <f t="shared" si="11"/>
        <v>6972301.6259999992</v>
      </c>
      <c r="AD42" s="1">
        <f t="shared" si="12"/>
        <v>6545958.69025</v>
      </c>
    </row>
    <row r="43" spans="1:30" x14ac:dyDescent="0.25">
      <c r="A43" s="4">
        <v>1717</v>
      </c>
      <c r="C43" s="1">
        <v>4802325</v>
      </c>
      <c r="H43" s="1">
        <v>17</v>
      </c>
      <c r="I43" s="1">
        <v>14553</v>
      </c>
      <c r="J43" s="1">
        <v>11642000</v>
      </c>
      <c r="L43" s="1">
        <v>17</v>
      </c>
      <c r="M43" s="1">
        <v>13920</v>
      </c>
      <c r="N43" s="1">
        <v>11136000</v>
      </c>
      <c r="P43" s="1">
        <v>17</v>
      </c>
      <c r="Q43" s="1">
        <v>11136400</v>
      </c>
      <c r="T43" s="3">
        <v>0.49408999999999997</v>
      </c>
      <c r="U43" s="1">
        <f t="shared" si="7"/>
        <v>5752195.7799999993</v>
      </c>
      <c r="W43" s="1">
        <f t="shared" si="8"/>
        <v>5502186.2399999993</v>
      </c>
      <c r="Y43" s="1">
        <f t="shared" si="9"/>
        <v>5502383.8760000002</v>
      </c>
      <c r="AB43" s="1">
        <f t="shared" si="10"/>
        <v>4802325</v>
      </c>
      <c r="AC43" s="1">
        <f t="shared" si="11"/>
        <v>5752195.7799999993</v>
      </c>
      <c r="AD43" s="1">
        <f t="shared" si="12"/>
        <v>5389772.7239999995</v>
      </c>
    </row>
    <row r="44" spans="1:30" x14ac:dyDescent="0.25">
      <c r="A44" s="4">
        <v>1718</v>
      </c>
      <c r="C44" s="1">
        <v>4103715</v>
      </c>
      <c r="H44" s="1">
        <v>24</v>
      </c>
      <c r="I44" s="1">
        <v>12436</v>
      </c>
      <c r="J44" s="1">
        <v>9948400</v>
      </c>
      <c r="L44" s="1">
        <v>14</v>
      </c>
      <c r="M44" s="1">
        <v>11934</v>
      </c>
      <c r="N44" s="1">
        <v>9547200</v>
      </c>
      <c r="P44" s="1">
        <v>14</v>
      </c>
      <c r="Q44" s="1">
        <v>9947500</v>
      </c>
      <c r="T44" s="3">
        <v>0.49408999999999997</v>
      </c>
      <c r="U44" s="1">
        <f t="shared" si="7"/>
        <v>4915404.9559999993</v>
      </c>
      <c r="W44" s="1">
        <f t="shared" si="8"/>
        <v>4717176.0479999995</v>
      </c>
      <c r="Y44" s="1">
        <f t="shared" si="9"/>
        <v>4914960.2749999994</v>
      </c>
      <c r="AB44" s="1">
        <f t="shared" si="10"/>
        <v>4103715</v>
      </c>
      <c r="AC44" s="1">
        <f t="shared" si="11"/>
        <v>4915404.9559999993</v>
      </c>
      <c r="AD44" s="1">
        <f t="shared" si="12"/>
        <v>4662814.0697499998</v>
      </c>
    </row>
    <row r="45" spans="1:30" x14ac:dyDescent="0.25">
      <c r="A45" s="4">
        <v>1719</v>
      </c>
      <c r="C45" s="1">
        <v>5714363</v>
      </c>
      <c r="H45" s="1">
        <v>22</v>
      </c>
      <c r="I45" s="1">
        <v>17316</v>
      </c>
      <c r="J45" s="1">
        <v>13853000</v>
      </c>
      <c r="L45" s="1">
        <v>22</v>
      </c>
      <c r="M45" s="1">
        <v>16633</v>
      </c>
      <c r="N45" s="1">
        <v>13306400</v>
      </c>
      <c r="P45" s="1">
        <v>22</v>
      </c>
      <c r="Q45" s="1">
        <v>13307100</v>
      </c>
      <c r="T45" s="3">
        <v>0.49408999999999997</v>
      </c>
      <c r="U45" s="1">
        <f>J45*T45</f>
        <v>6844628.7699999996</v>
      </c>
      <c r="W45" s="1">
        <f>N45*T45</f>
        <v>6574559.176</v>
      </c>
      <c r="Y45" s="1">
        <f>Q45*T45</f>
        <v>6574905.0389999999</v>
      </c>
      <c r="AB45" s="1">
        <f t="shared" si="10"/>
        <v>5714363</v>
      </c>
      <c r="AC45" s="1">
        <f t="shared" si="11"/>
        <v>6844628.7699999996</v>
      </c>
      <c r="AD45" s="1">
        <f t="shared" si="12"/>
        <v>6427113.9962499999</v>
      </c>
    </row>
    <row r="46" spans="1:30" x14ac:dyDescent="0.25">
      <c r="A46" s="4">
        <v>1720</v>
      </c>
      <c r="C46" s="1">
        <v>6428483</v>
      </c>
      <c r="H46" s="1">
        <v>20</v>
      </c>
      <c r="I46" s="1">
        <v>19480</v>
      </c>
      <c r="J46" s="1">
        <v>15584200</v>
      </c>
      <c r="L46" s="1">
        <v>20</v>
      </c>
      <c r="M46" s="1">
        <v>18906</v>
      </c>
      <c r="N46" s="1">
        <v>15124800</v>
      </c>
      <c r="P46" s="1">
        <v>20</v>
      </c>
      <c r="Q46" s="1">
        <v>14524600</v>
      </c>
      <c r="T46" s="3">
        <v>0.49408999999999997</v>
      </c>
      <c r="U46" s="1">
        <f>J46*T46</f>
        <v>7699997.3779999996</v>
      </c>
      <c r="W46" s="1">
        <f>N46*T46</f>
        <v>7473012.432</v>
      </c>
      <c r="Y46" s="1">
        <f>Q46*T46</f>
        <v>7176459.6140000001</v>
      </c>
      <c r="AB46" s="1">
        <f t="shared" si="10"/>
        <v>6428483</v>
      </c>
      <c r="AC46" s="1">
        <f t="shared" si="11"/>
        <v>7699997.3779999996</v>
      </c>
      <c r="AD46" s="1">
        <f t="shared" si="12"/>
        <v>7194488.1059999997</v>
      </c>
    </row>
    <row r="47" spans="1:30" x14ac:dyDescent="0.25">
      <c r="A47" s="4">
        <v>1721</v>
      </c>
      <c r="C47" s="1">
        <v>8530005</v>
      </c>
      <c r="H47" s="1">
        <v>27</v>
      </c>
      <c r="I47" s="1">
        <v>25848</v>
      </c>
      <c r="J47" s="1">
        <v>20678720</v>
      </c>
      <c r="L47" s="1">
        <v>27</v>
      </c>
      <c r="M47" s="1">
        <v>25114</v>
      </c>
      <c r="N47" s="1">
        <v>20091200</v>
      </c>
      <c r="P47" s="1">
        <v>27</v>
      </c>
      <c r="Q47" s="1">
        <v>20091500</v>
      </c>
      <c r="T47" s="3">
        <v>0.49408999999999997</v>
      </c>
      <c r="U47" s="1">
        <f>J47*T47</f>
        <v>10217148.764799999</v>
      </c>
      <c r="W47" s="1">
        <f>N47*T47</f>
        <v>9926861.0079999994</v>
      </c>
      <c r="Y47" s="1">
        <f>Q47*T47</f>
        <v>9927009.2349999994</v>
      </c>
      <c r="AB47" s="1">
        <f t="shared" si="10"/>
        <v>8530005</v>
      </c>
      <c r="AC47" s="1">
        <f t="shared" si="11"/>
        <v>10217148.764799999</v>
      </c>
      <c r="AD47" s="1">
        <f t="shared" si="12"/>
        <v>9650256.0019499995</v>
      </c>
    </row>
    <row r="48" spans="1:30" x14ac:dyDescent="0.25">
      <c r="A48" s="4">
        <v>1722</v>
      </c>
      <c r="C48" s="1">
        <v>9855945</v>
      </c>
      <c r="H48" s="1">
        <v>32</v>
      </c>
      <c r="I48" s="1">
        <v>29866</v>
      </c>
      <c r="J48" s="1">
        <v>23893120</v>
      </c>
      <c r="L48" s="1">
        <v>32</v>
      </c>
      <c r="M48" s="1">
        <v>29109</v>
      </c>
      <c r="N48" s="1">
        <v>23287200</v>
      </c>
      <c r="P48" s="1">
        <v>32</v>
      </c>
      <c r="Q48" s="1">
        <v>23514800</v>
      </c>
      <c r="T48" s="3">
        <v>0.49408999999999997</v>
      </c>
      <c r="U48" s="1">
        <f>J48*T48</f>
        <v>11805351.660799999</v>
      </c>
      <c r="W48" s="1">
        <f>N48*T48</f>
        <v>11505972.648</v>
      </c>
      <c r="Y48" s="1">
        <f>Q48*T48</f>
        <v>11618427.532</v>
      </c>
      <c r="AB48" s="1">
        <f t="shared" si="10"/>
        <v>9855945</v>
      </c>
      <c r="AC48" s="1">
        <f t="shared" si="11"/>
        <v>11805351.660799999</v>
      </c>
      <c r="AD48" s="1">
        <f t="shared" si="12"/>
        <v>11196424.210199999</v>
      </c>
    </row>
    <row r="49" spans="1:33" x14ac:dyDescent="0.25">
      <c r="A49" s="4">
        <v>1723</v>
      </c>
      <c r="C49" s="1">
        <v>6842220</v>
      </c>
      <c r="H49" s="1">
        <v>25</v>
      </c>
      <c r="I49" s="1">
        <v>20734</v>
      </c>
      <c r="J49" s="1">
        <v>16587200</v>
      </c>
      <c r="L49" s="1">
        <v>25</v>
      </c>
      <c r="M49" s="1">
        <v>20909</v>
      </c>
      <c r="N49" s="1">
        <v>16727200</v>
      </c>
      <c r="P49" s="1">
        <v>25</v>
      </c>
      <c r="Q49" s="1">
        <v>16727200</v>
      </c>
      <c r="R49" s="1">
        <v>3425</v>
      </c>
      <c r="T49" s="3">
        <v>0.49408999999999997</v>
      </c>
      <c r="U49" s="1">
        <f t="shared" ref="U49:U53" si="13">J49*T49</f>
        <v>8195569.6479999991</v>
      </c>
      <c r="W49" s="1">
        <f t="shared" ref="W49:W53" si="14">N49*T49</f>
        <v>8264742.2479999997</v>
      </c>
      <c r="Y49" s="1">
        <f t="shared" ref="Y49:Y53" si="15">Q49*T49</f>
        <v>8264742.2479999997</v>
      </c>
      <c r="Z49" s="1">
        <f t="shared" ref="Z49:Z80" si="16">R49*T49</f>
        <v>1692.2582499999999</v>
      </c>
      <c r="AB49" s="1">
        <f t="shared" si="10"/>
        <v>6842220</v>
      </c>
      <c r="AC49" s="1">
        <f t="shared" si="11"/>
        <v>8264742.2479999997</v>
      </c>
      <c r="AD49" s="1">
        <f t="shared" si="12"/>
        <v>7891818.5359999994</v>
      </c>
      <c r="AE49" s="1">
        <f t="shared" ref="AE49:AE80" si="17">MIN(Z49,X49,V49,D49)</f>
        <v>1692.2582499999999</v>
      </c>
      <c r="AF49" s="1">
        <f t="shared" ref="AF49:AF80" si="18">MAX(Z49,X49,V49,D49)</f>
        <v>1692.2582499999999</v>
      </c>
      <c r="AG49" s="1">
        <f t="shared" ref="AG49:AG80" si="19">AVERAGE(Z49,X49,V49,D49)</f>
        <v>1692.2582499999999</v>
      </c>
    </row>
    <row r="50" spans="1:33" x14ac:dyDescent="0.25">
      <c r="A50" s="4">
        <v>1724</v>
      </c>
      <c r="C50" s="1">
        <v>8519940</v>
      </c>
      <c r="D50" s="1">
        <v>2814</v>
      </c>
      <c r="H50" s="1">
        <v>29</v>
      </c>
      <c r="I50" s="1">
        <v>25818</v>
      </c>
      <c r="J50" s="1">
        <v>20654400</v>
      </c>
      <c r="K50" s="1">
        <v>5627</v>
      </c>
      <c r="L50" s="1">
        <v>29</v>
      </c>
      <c r="M50" s="1">
        <v>24963</v>
      </c>
      <c r="N50" s="1">
        <v>19970400</v>
      </c>
      <c r="O50" s="1">
        <v>5867</v>
      </c>
      <c r="P50" s="1">
        <v>29</v>
      </c>
      <c r="Q50" s="1">
        <v>19907200</v>
      </c>
      <c r="R50" s="1">
        <v>5868</v>
      </c>
      <c r="T50" s="3">
        <v>0.49408999999999997</v>
      </c>
      <c r="U50" s="1">
        <f t="shared" si="13"/>
        <v>10205132.495999999</v>
      </c>
      <c r="V50" s="1">
        <f t="shared" ref="V50:V81" si="20">K50*T50</f>
        <v>2780.2444299999997</v>
      </c>
      <c r="W50" s="1">
        <f t="shared" si="14"/>
        <v>9867174.9359999988</v>
      </c>
      <c r="X50" s="1">
        <f t="shared" ref="X50:X81" si="21">O50*T50</f>
        <v>2898.8260299999997</v>
      </c>
      <c r="Y50" s="1">
        <f t="shared" si="15"/>
        <v>9835948.4479999989</v>
      </c>
      <c r="Z50" s="1">
        <f t="shared" si="16"/>
        <v>2899.3201199999999</v>
      </c>
      <c r="AB50" s="1">
        <f t="shared" si="10"/>
        <v>8519940</v>
      </c>
      <c r="AC50" s="1">
        <f t="shared" si="11"/>
        <v>10205132.495999999</v>
      </c>
      <c r="AD50" s="1">
        <f t="shared" si="12"/>
        <v>9607048.9699999988</v>
      </c>
      <c r="AE50" s="1">
        <f t="shared" si="17"/>
        <v>2780.2444299999997</v>
      </c>
      <c r="AF50" s="1">
        <f t="shared" si="18"/>
        <v>2899.3201199999999</v>
      </c>
      <c r="AG50" s="1">
        <f t="shared" si="19"/>
        <v>2848.0976449999998</v>
      </c>
    </row>
    <row r="51" spans="1:33" x14ac:dyDescent="0.25">
      <c r="A51" s="4">
        <v>1725</v>
      </c>
      <c r="C51" s="1">
        <v>7322783</v>
      </c>
      <c r="D51" s="1">
        <v>23043</v>
      </c>
      <c r="H51" s="1">
        <v>24</v>
      </c>
      <c r="I51" s="1">
        <v>22190</v>
      </c>
      <c r="J51" s="1">
        <v>17752200</v>
      </c>
      <c r="K51" s="1">
        <v>46086</v>
      </c>
      <c r="L51" s="1">
        <v>24</v>
      </c>
      <c r="M51" s="1">
        <v>21405</v>
      </c>
      <c r="N51" s="1">
        <v>17124000</v>
      </c>
      <c r="O51" s="1">
        <v>46292</v>
      </c>
      <c r="P51" s="1">
        <v>24</v>
      </c>
      <c r="Q51" s="1">
        <v>17126200</v>
      </c>
      <c r="R51" s="1">
        <v>46904</v>
      </c>
      <c r="T51" s="3">
        <v>0.49408999999999997</v>
      </c>
      <c r="U51" s="1">
        <f t="shared" si="13"/>
        <v>8771184.4979999997</v>
      </c>
      <c r="V51" s="1">
        <f t="shared" si="20"/>
        <v>22770.631739999997</v>
      </c>
      <c r="W51" s="1">
        <f t="shared" si="14"/>
        <v>8460797.1600000001</v>
      </c>
      <c r="X51" s="1">
        <f t="shared" si="21"/>
        <v>22872.414279999997</v>
      </c>
      <c r="Y51" s="1">
        <f t="shared" si="15"/>
        <v>8461884.1579999998</v>
      </c>
      <c r="Z51" s="1">
        <f t="shared" si="16"/>
        <v>23174.79736</v>
      </c>
      <c r="AB51" s="1">
        <f t="shared" si="10"/>
        <v>7322783</v>
      </c>
      <c r="AC51" s="1">
        <f t="shared" si="11"/>
        <v>8771184.4979999997</v>
      </c>
      <c r="AD51" s="1">
        <f t="shared" si="12"/>
        <v>8254162.2039999999</v>
      </c>
      <c r="AE51" s="1">
        <f t="shared" si="17"/>
        <v>22770.631739999997</v>
      </c>
      <c r="AF51" s="1">
        <f t="shared" si="18"/>
        <v>23174.79736</v>
      </c>
      <c r="AG51" s="1">
        <f t="shared" si="19"/>
        <v>22965.210844999998</v>
      </c>
    </row>
    <row r="52" spans="1:33" x14ac:dyDescent="0.25">
      <c r="A52" s="4">
        <v>1726</v>
      </c>
      <c r="C52" s="1">
        <v>8194973</v>
      </c>
      <c r="D52" s="1">
        <v>71351</v>
      </c>
      <c r="H52" s="1">
        <v>29</v>
      </c>
      <c r="I52" s="1">
        <v>24834</v>
      </c>
      <c r="J52" s="1">
        <v>19867000</v>
      </c>
      <c r="K52" s="1">
        <v>142702</v>
      </c>
      <c r="L52" s="1">
        <v>29</v>
      </c>
      <c r="M52" s="1">
        <v>24141</v>
      </c>
      <c r="N52" s="1">
        <v>19312800</v>
      </c>
      <c r="O52" s="1">
        <v>142702</v>
      </c>
      <c r="P52" s="1">
        <v>29</v>
      </c>
      <c r="Q52" s="1">
        <v>19323100</v>
      </c>
      <c r="R52" s="1">
        <v>142702</v>
      </c>
      <c r="T52" s="3">
        <v>0.49408999999999997</v>
      </c>
      <c r="U52" s="1">
        <f t="shared" si="13"/>
        <v>9816086.0299999993</v>
      </c>
      <c r="V52" s="1">
        <f t="shared" si="20"/>
        <v>70507.631179999997</v>
      </c>
      <c r="W52" s="1">
        <f t="shared" si="14"/>
        <v>9542261.352</v>
      </c>
      <c r="X52" s="1">
        <f t="shared" si="21"/>
        <v>70507.631179999997</v>
      </c>
      <c r="Y52" s="1">
        <f t="shared" si="15"/>
        <v>9547350.4790000003</v>
      </c>
      <c r="Z52" s="1">
        <f t="shared" si="16"/>
        <v>70507.631179999997</v>
      </c>
      <c r="AB52" s="1">
        <f t="shared" si="10"/>
        <v>8194973</v>
      </c>
      <c r="AC52" s="1">
        <f t="shared" si="11"/>
        <v>9816086.0299999993</v>
      </c>
      <c r="AD52" s="1">
        <f t="shared" si="12"/>
        <v>9275167.7152500004</v>
      </c>
      <c r="AE52" s="1">
        <f t="shared" si="17"/>
        <v>70507.631179999997</v>
      </c>
      <c r="AF52" s="1">
        <f t="shared" si="18"/>
        <v>71351</v>
      </c>
      <c r="AG52" s="1">
        <f t="shared" si="19"/>
        <v>70718.47338499999</v>
      </c>
    </row>
    <row r="53" spans="1:33" x14ac:dyDescent="0.25">
      <c r="A53" s="4">
        <v>1727</v>
      </c>
      <c r="C53" s="1">
        <v>8797965</v>
      </c>
      <c r="D53" s="1">
        <v>103687</v>
      </c>
      <c r="H53" s="1">
        <v>28</v>
      </c>
      <c r="I53" s="1">
        <v>26661</v>
      </c>
      <c r="J53" s="1">
        <v>21328400</v>
      </c>
      <c r="K53" s="1">
        <v>207373</v>
      </c>
      <c r="L53" s="1">
        <v>28</v>
      </c>
      <c r="M53" s="1">
        <v>26156</v>
      </c>
      <c r="N53" s="1">
        <v>20924800</v>
      </c>
      <c r="O53" s="1">
        <v>207373</v>
      </c>
      <c r="P53" s="1">
        <v>28</v>
      </c>
      <c r="Q53" s="1">
        <v>20845800</v>
      </c>
      <c r="R53" s="1">
        <v>207373</v>
      </c>
      <c r="T53" s="3">
        <v>0.49408999999999997</v>
      </c>
      <c r="U53" s="1">
        <f t="shared" si="13"/>
        <v>10538149.155999999</v>
      </c>
      <c r="V53" s="1">
        <f t="shared" si="20"/>
        <v>102460.92556999999</v>
      </c>
      <c r="W53" s="1">
        <f t="shared" si="14"/>
        <v>10338734.432</v>
      </c>
      <c r="X53" s="1">
        <f t="shared" si="21"/>
        <v>102460.92556999999</v>
      </c>
      <c r="Y53" s="1">
        <f t="shared" si="15"/>
        <v>10299701.321999999</v>
      </c>
      <c r="Z53" s="1">
        <f t="shared" si="16"/>
        <v>102460.92556999999</v>
      </c>
      <c r="AB53" s="1">
        <f t="shared" si="10"/>
        <v>8797965</v>
      </c>
      <c r="AC53" s="1">
        <f t="shared" si="11"/>
        <v>10538149.155999999</v>
      </c>
      <c r="AD53" s="1">
        <f t="shared" si="12"/>
        <v>9993637.4774999991</v>
      </c>
      <c r="AE53" s="1">
        <f t="shared" si="17"/>
        <v>102460.92556999999</v>
      </c>
      <c r="AF53" s="1">
        <f t="shared" si="18"/>
        <v>103687</v>
      </c>
      <c r="AG53" s="1">
        <f t="shared" si="19"/>
        <v>102767.4441775</v>
      </c>
    </row>
    <row r="54" spans="1:33" x14ac:dyDescent="0.25">
      <c r="A54" s="4">
        <v>1728</v>
      </c>
      <c r="C54" s="1">
        <v>8525880</v>
      </c>
      <c r="D54" s="1">
        <v>115081</v>
      </c>
      <c r="H54" s="1">
        <v>27</v>
      </c>
      <c r="I54" s="1">
        <v>25836</v>
      </c>
      <c r="J54" s="1">
        <v>20668800</v>
      </c>
      <c r="K54" s="1">
        <v>230162</v>
      </c>
      <c r="L54" s="1">
        <v>27</v>
      </c>
      <c r="M54" s="1">
        <v>25168</v>
      </c>
      <c r="N54" s="1">
        <v>20134400</v>
      </c>
      <c r="O54" s="1">
        <v>230162</v>
      </c>
      <c r="P54" s="1">
        <v>27</v>
      </c>
      <c r="Q54" s="1">
        <v>20195200</v>
      </c>
      <c r="R54" s="1">
        <v>207333</v>
      </c>
      <c r="T54" s="3">
        <v>0.49408999999999997</v>
      </c>
      <c r="U54" s="1">
        <f t="shared" ref="U54:U90" si="22">J54*T54</f>
        <v>10212247.391999999</v>
      </c>
      <c r="V54" s="1">
        <f t="shared" si="20"/>
        <v>113720.74257999999</v>
      </c>
      <c r="W54" s="1">
        <f t="shared" ref="W54:W90" si="23">N54*T54</f>
        <v>9948205.6959999986</v>
      </c>
      <c r="X54" s="1">
        <f t="shared" si="21"/>
        <v>113720.74257999999</v>
      </c>
      <c r="Y54" s="1">
        <f t="shared" ref="Y54:Y90" si="24">Q54*T54</f>
        <v>9978246.3679999989</v>
      </c>
      <c r="Z54" s="1">
        <f t="shared" si="16"/>
        <v>102441.16197</v>
      </c>
      <c r="AB54" s="1">
        <f t="shared" si="10"/>
        <v>8525880</v>
      </c>
      <c r="AC54" s="1">
        <f t="shared" si="11"/>
        <v>10212247.391999999</v>
      </c>
      <c r="AD54" s="1">
        <f t="shared" si="12"/>
        <v>9666144.8639999982</v>
      </c>
      <c r="AE54" s="1">
        <f t="shared" si="17"/>
        <v>102441.16197</v>
      </c>
      <c r="AF54" s="1">
        <f t="shared" si="18"/>
        <v>115081</v>
      </c>
      <c r="AG54" s="1">
        <f t="shared" si="19"/>
        <v>111240.91178249998</v>
      </c>
    </row>
    <row r="55" spans="1:33" x14ac:dyDescent="0.25">
      <c r="A55" s="4">
        <v>1729</v>
      </c>
      <c r="C55" s="1">
        <v>8662005</v>
      </c>
      <c r="D55" s="1">
        <v>136083</v>
      </c>
      <c r="H55" s="1">
        <v>27</v>
      </c>
      <c r="I55" s="1">
        <v>26249</v>
      </c>
      <c r="J55" s="1">
        <v>20998800</v>
      </c>
      <c r="K55" s="1">
        <v>272165</v>
      </c>
      <c r="L55" s="1">
        <v>27</v>
      </c>
      <c r="M55" s="1">
        <v>25269</v>
      </c>
      <c r="N55" s="1">
        <v>20315200</v>
      </c>
      <c r="O55" s="1">
        <v>272165</v>
      </c>
      <c r="P55" s="1">
        <v>27</v>
      </c>
      <c r="Q55" s="1">
        <v>20225400</v>
      </c>
      <c r="R55" s="1">
        <v>272165</v>
      </c>
      <c r="T55" s="3">
        <v>0.49408999999999997</v>
      </c>
      <c r="U55" s="1">
        <f t="shared" si="22"/>
        <v>10375297.092</v>
      </c>
      <c r="V55" s="1">
        <f t="shared" si="20"/>
        <v>134474.00485</v>
      </c>
      <c r="W55" s="1">
        <f t="shared" si="23"/>
        <v>10037537.168</v>
      </c>
      <c r="X55" s="1">
        <f t="shared" si="21"/>
        <v>134474.00485</v>
      </c>
      <c r="Y55" s="1">
        <f t="shared" si="24"/>
        <v>9993167.8859999999</v>
      </c>
      <c r="Z55" s="1">
        <f t="shared" si="16"/>
        <v>134474.00485</v>
      </c>
      <c r="AB55" s="1">
        <f t="shared" si="10"/>
        <v>8662005</v>
      </c>
      <c r="AC55" s="1">
        <f t="shared" si="11"/>
        <v>10375297.092</v>
      </c>
      <c r="AD55" s="1">
        <f t="shared" si="12"/>
        <v>9767001.7864999995</v>
      </c>
      <c r="AE55" s="1">
        <f t="shared" si="17"/>
        <v>134474.00485</v>
      </c>
      <c r="AF55" s="1">
        <f t="shared" si="18"/>
        <v>136083</v>
      </c>
      <c r="AG55" s="1">
        <f t="shared" si="19"/>
        <v>134876.25363749999</v>
      </c>
    </row>
    <row r="56" spans="1:33" x14ac:dyDescent="0.25">
      <c r="A56" s="4">
        <v>1730</v>
      </c>
      <c r="C56" s="1">
        <v>8943000</v>
      </c>
      <c r="D56" s="1">
        <v>251834</v>
      </c>
      <c r="H56" s="1">
        <v>29</v>
      </c>
      <c r="I56" s="1">
        <v>27100</v>
      </c>
      <c r="J56" s="1">
        <v>21680000</v>
      </c>
      <c r="K56" s="1">
        <v>503667</v>
      </c>
      <c r="L56" s="1">
        <v>29</v>
      </c>
      <c r="M56" s="1">
        <v>26150</v>
      </c>
      <c r="N56" s="1">
        <v>20920000</v>
      </c>
      <c r="O56" s="1">
        <v>503667</v>
      </c>
      <c r="P56" s="1">
        <v>28</v>
      </c>
      <c r="Q56" s="1">
        <v>19881600</v>
      </c>
      <c r="R56" s="1">
        <v>468446</v>
      </c>
      <c r="T56" s="3">
        <v>0.49408999999999997</v>
      </c>
      <c r="U56" s="1">
        <f t="shared" si="22"/>
        <v>10711871.199999999</v>
      </c>
      <c r="V56" s="1">
        <f t="shared" si="20"/>
        <v>248856.82802999998</v>
      </c>
      <c r="W56" s="1">
        <f t="shared" si="23"/>
        <v>10336362.799999999</v>
      </c>
      <c r="X56" s="1">
        <f t="shared" si="21"/>
        <v>248856.82802999998</v>
      </c>
      <c r="Y56" s="1">
        <f t="shared" si="24"/>
        <v>9823299.743999999</v>
      </c>
      <c r="Z56" s="1">
        <f t="shared" si="16"/>
        <v>231454.48413999999</v>
      </c>
      <c r="AB56" s="1">
        <f t="shared" si="10"/>
        <v>8943000</v>
      </c>
      <c r="AC56" s="1">
        <f t="shared" si="11"/>
        <v>10711871.199999999</v>
      </c>
      <c r="AD56" s="1">
        <f t="shared" si="12"/>
        <v>9953633.4360000007</v>
      </c>
      <c r="AE56" s="1">
        <f t="shared" si="17"/>
        <v>231454.48413999999</v>
      </c>
      <c r="AF56" s="1">
        <f t="shared" si="18"/>
        <v>251834</v>
      </c>
      <c r="AG56" s="1">
        <f t="shared" si="19"/>
        <v>245250.53504999998</v>
      </c>
    </row>
    <row r="57" spans="1:33" x14ac:dyDescent="0.25">
      <c r="A57" s="4">
        <v>1731</v>
      </c>
      <c r="C57" s="1">
        <v>7669695</v>
      </c>
      <c r="D57" s="1">
        <v>265016</v>
      </c>
      <c r="H57" s="1">
        <v>26</v>
      </c>
      <c r="I57" s="1">
        <v>23242</v>
      </c>
      <c r="J57" s="1">
        <v>18593200</v>
      </c>
      <c r="K57" s="1">
        <v>530032</v>
      </c>
      <c r="L57" s="1">
        <v>26</v>
      </c>
      <c r="M57" s="1">
        <v>22392</v>
      </c>
      <c r="N57" s="1">
        <v>17913600</v>
      </c>
      <c r="O57" s="1">
        <v>529536</v>
      </c>
      <c r="P57" s="1">
        <v>28</v>
      </c>
      <c r="Q57" s="1">
        <v>18977000</v>
      </c>
      <c r="R57" s="1">
        <v>561672</v>
      </c>
      <c r="T57" s="3">
        <v>0.49408999999999997</v>
      </c>
      <c r="U57" s="1">
        <f t="shared" si="22"/>
        <v>9186714.1879999992</v>
      </c>
      <c r="V57" s="1">
        <f t="shared" si="20"/>
        <v>261883.51087999999</v>
      </c>
      <c r="W57" s="1">
        <f t="shared" si="23"/>
        <v>8850930.6239999998</v>
      </c>
      <c r="X57" s="1">
        <f t="shared" si="21"/>
        <v>261638.44223999997</v>
      </c>
      <c r="Y57" s="1">
        <f t="shared" si="24"/>
        <v>9376345.9299999997</v>
      </c>
      <c r="Z57" s="1">
        <f t="shared" si="16"/>
        <v>277516.51847999997</v>
      </c>
      <c r="AB57" s="1">
        <f t="shared" si="10"/>
        <v>7669695</v>
      </c>
      <c r="AC57" s="1">
        <f t="shared" si="11"/>
        <v>9376345.9299999997</v>
      </c>
      <c r="AD57" s="1">
        <f t="shared" si="12"/>
        <v>8770921.4354999997</v>
      </c>
      <c r="AE57" s="1">
        <f t="shared" si="17"/>
        <v>261638.44223999997</v>
      </c>
      <c r="AF57" s="1">
        <f t="shared" si="18"/>
        <v>277516.51847999997</v>
      </c>
      <c r="AG57" s="1">
        <f t="shared" si="19"/>
        <v>266513.61789999995</v>
      </c>
    </row>
    <row r="58" spans="1:33" x14ac:dyDescent="0.25">
      <c r="A58" s="4">
        <v>1732</v>
      </c>
      <c r="C58" s="1">
        <v>9027480</v>
      </c>
      <c r="D58" s="1">
        <v>550574</v>
      </c>
      <c r="F58" s="1">
        <v>1584</v>
      </c>
      <c r="H58" s="1">
        <v>32</v>
      </c>
      <c r="I58" s="1">
        <v>27356</v>
      </c>
      <c r="J58" s="1">
        <v>21884800</v>
      </c>
      <c r="K58" s="1">
        <v>1101147</v>
      </c>
      <c r="L58" s="1">
        <v>32</v>
      </c>
      <c r="M58" s="1">
        <v>26308</v>
      </c>
      <c r="N58" s="1">
        <v>21046400</v>
      </c>
      <c r="O58" s="1">
        <v>1100394</v>
      </c>
      <c r="P58" s="1">
        <v>29</v>
      </c>
      <c r="Q58" s="1">
        <v>18618400</v>
      </c>
      <c r="R58" s="1">
        <v>1012632</v>
      </c>
      <c r="T58" s="3">
        <v>0.49408999999999997</v>
      </c>
      <c r="U58" s="1">
        <f t="shared" si="22"/>
        <v>10813060.831999999</v>
      </c>
      <c r="V58" s="1">
        <f t="shared" si="20"/>
        <v>544065.72123000002</v>
      </c>
      <c r="W58" s="1">
        <f t="shared" si="23"/>
        <v>10398815.775999999</v>
      </c>
      <c r="X58" s="1">
        <f t="shared" si="21"/>
        <v>543693.67145999998</v>
      </c>
      <c r="Y58" s="1">
        <f t="shared" si="24"/>
        <v>9199165.2559999991</v>
      </c>
      <c r="Z58" s="1">
        <f t="shared" si="16"/>
        <v>500331.34487999999</v>
      </c>
      <c r="AB58" s="1">
        <f t="shared" si="10"/>
        <v>9027480</v>
      </c>
      <c r="AC58" s="1">
        <f t="shared" si="11"/>
        <v>10813060.831999999</v>
      </c>
      <c r="AD58" s="1">
        <f t="shared" si="12"/>
        <v>9859630.4659999982</v>
      </c>
      <c r="AE58" s="1">
        <f t="shared" si="17"/>
        <v>500331.34487999999</v>
      </c>
      <c r="AF58" s="1">
        <f t="shared" si="18"/>
        <v>550574</v>
      </c>
      <c r="AG58" s="1">
        <f t="shared" si="19"/>
        <v>534666.18439249997</v>
      </c>
    </row>
    <row r="59" spans="1:33" x14ac:dyDescent="0.25">
      <c r="A59" s="4">
        <v>1733</v>
      </c>
      <c r="C59" s="1">
        <v>6849645</v>
      </c>
      <c r="D59" s="1">
        <v>394549</v>
      </c>
      <c r="F59" s="1">
        <v>1347</v>
      </c>
      <c r="H59" s="1">
        <v>26</v>
      </c>
      <c r="I59" s="1">
        <v>20756</v>
      </c>
      <c r="J59" s="1">
        <v>16605040</v>
      </c>
      <c r="K59" s="1">
        <v>789097</v>
      </c>
      <c r="L59" s="1">
        <v>26</v>
      </c>
      <c r="M59" s="1">
        <v>19929</v>
      </c>
      <c r="N59" s="1">
        <v>15943200</v>
      </c>
      <c r="O59" s="1">
        <v>789064</v>
      </c>
      <c r="P59" s="1">
        <v>27</v>
      </c>
      <c r="Q59" s="1">
        <v>16870800</v>
      </c>
      <c r="R59" s="1">
        <v>789478</v>
      </c>
      <c r="T59" s="3">
        <v>0.49408999999999997</v>
      </c>
      <c r="U59" s="1">
        <f t="shared" si="22"/>
        <v>8204384.2135999994</v>
      </c>
      <c r="V59" s="1">
        <f t="shared" si="20"/>
        <v>389884.93672999996</v>
      </c>
      <c r="W59" s="1">
        <f t="shared" si="23"/>
        <v>7877375.6879999992</v>
      </c>
      <c r="X59" s="1">
        <f t="shared" si="21"/>
        <v>389868.63175999996</v>
      </c>
      <c r="Y59" s="1">
        <f t="shared" si="24"/>
        <v>8335693.5719999997</v>
      </c>
      <c r="Z59" s="1">
        <f t="shared" si="16"/>
        <v>390073.18501999998</v>
      </c>
      <c r="AB59" s="1">
        <f t="shared" si="10"/>
        <v>6849645</v>
      </c>
      <c r="AC59" s="1">
        <f t="shared" si="11"/>
        <v>8335693.5719999997</v>
      </c>
      <c r="AD59" s="1">
        <f t="shared" si="12"/>
        <v>7816774.6183999991</v>
      </c>
      <c r="AE59" s="1">
        <f t="shared" si="17"/>
        <v>389868.63175999996</v>
      </c>
      <c r="AF59" s="1">
        <f t="shared" si="18"/>
        <v>394549</v>
      </c>
      <c r="AG59" s="1">
        <f t="shared" si="19"/>
        <v>391093.93837749999</v>
      </c>
    </row>
    <row r="60" spans="1:33" x14ac:dyDescent="0.25">
      <c r="A60" s="4">
        <v>1734</v>
      </c>
      <c r="C60" s="1">
        <v>7421040</v>
      </c>
      <c r="D60" s="1">
        <v>628518</v>
      </c>
      <c r="F60" s="1">
        <v>1778</v>
      </c>
      <c r="H60" s="1">
        <v>30</v>
      </c>
      <c r="I60" s="1">
        <v>22488</v>
      </c>
      <c r="J60" s="1">
        <v>17990400</v>
      </c>
      <c r="K60" s="1">
        <v>1257036</v>
      </c>
      <c r="L60" s="1">
        <v>30</v>
      </c>
      <c r="M60" s="1">
        <v>21699</v>
      </c>
      <c r="N60" s="1">
        <v>17359200</v>
      </c>
      <c r="O60" s="1">
        <v>1265360</v>
      </c>
      <c r="P60" s="1">
        <v>30</v>
      </c>
      <c r="Q60" s="1">
        <v>17965600</v>
      </c>
      <c r="R60" s="1">
        <v>1266231</v>
      </c>
      <c r="T60" s="3">
        <v>0.49408999999999997</v>
      </c>
      <c r="U60" s="1">
        <f t="shared" si="22"/>
        <v>8888876.7359999996</v>
      </c>
      <c r="V60" s="1">
        <f t="shared" si="20"/>
        <v>621088.91723999998</v>
      </c>
      <c r="W60" s="1">
        <f t="shared" si="23"/>
        <v>8577007.1279999986</v>
      </c>
      <c r="X60" s="1">
        <f t="shared" si="21"/>
        <v>625201.72239999997</v>
      </c>
      <c r="Y60" s="1">
        <f t="shared" si="24"/>
        <v>8876623.3039999995</v>
      </c>
      <c r="Z60" s="1">
        <f t="shared" si="16"/>
        <v>625632.07478999998</v>
      </c>
      <c r="AB60" s="1">
        <f t="shared" si="10"/>
        <v>7421040</v>
      </c>
      <c r="AC60" s="1">
        <f t="shared" si="11"/>
        <v>8888876.7359999996</v>
      </c>
      <c r="AD60" s="1">
        <f t="shared" si="12"/>
        <v>8440886.7919999994</v>
      </c>
      <c r="AE60" s="1">
        <f t="shared" si="17"/>
        <v>621088.91723999998</v>
      </c>
      <c r="AF60" s="1">
        <f t="shared" si="18"/>
        <v>628518</v>
      </c>
      <c r="AG60" s="1">
        <f t="shared" si="19"/>
        <v>625110.17860749993</v>
      </c>
    </row>
    <row r="61" spans="1:33" x14ac:dyDescent="0.25">
      <c r="A61" s="4">
        <v>1735</v>
      </c>
      <c r="C61" s="1">
        <v>5666018</v>
      </c>
      <c r="D61" s="1">
        <v>688168</v>
      </c>
      <c r="F61" s="1">
        <v>1938</v>
      </c>
      <c r="H61" s="1">
        <v>28</v>
      </c>
      <c r="I61" s="1">
        <v>17170</v>
      </c>
      <c r="J61" s="1">
        <v>13735800</v>
      </c>
      <c r="K61" s="1">
        <v>1376335</v>
      </c>
      <c r="L61" s="1">
        <v>29</v>
      </c>
      <c r="M61" s="1">
        <v>16431</v>
      </c>
      <c r="N61" s="1">
        <v>13144800</v>
      </c>
      <c r="O61" s="1">
        <v>1376335</v>
      </c>
      <c r="P61" s="1">
        <v>28</v>
      </c>
      <c r="Q61" s="1">
        <v>11826850</v>
      </c>
      <c r="R61" s="1">
        <v>1217741</v>
      </c>
      <c r="T61" s="3">
        <v>0.49408999999999997</v>
      </c>
      <c r="U61" s="1">
        <f t="shared" si="22"/>
        <v>6786721.4219999993</v>
      </c>
      <c r="V61" s="1">
        <f t="shared" si="20"/>
        <v>680033.36014999996</v>
      </c>
      <c r="W61" s="1">
        <f t="shared" si="23"/>
        <v>6494714.2319999998</v>
      </c>
      <c r="X61" s="1">
        <f t="shared" si="21"/>
        <v>680033.36014999996</v>
      </c>
      <c r="Y61" s="1">
        <f t="shared" si="24"/>
        <v>5843528.3164999997</v>
      </c>
      <c r="Z61" s="1">
        <f t="shared" si="16"/>
        <v>601673.65068999992</v>
      </c>
      <c r="AB61" s="1">
        <f t="shared" si="10"/>
        <v>5666018</v>
      </c>
      <c r="AC61" s="1">
        <f t="shared" si="11"/>
        <v>6786721.4219999993</v>
      </c>
      <c r="AD61" s="1">
        <f t="shared" si="12"/>
        <v>6197745.492625</v>
      </c>
      <c r="AE61" s="1">
        <f t="shared" si="17"/>
        <v>601673.65068999992</v>
      </c>
      <c r="AF61" s="1">
        <f t="shared" si="18"/>
        <v>688168</v>
      </c>
      <c r="AG61" s="1">
        <f t="shared" si="19"/>
        <v>662477.09274749993</v>
      </c>
    </row>
    <row r="62" spans="1:33" x14ac:dyDescent="0.25">
      <c r="A62" s="4">
        <v>1736</v>
      </c>
      <c r="C62" s="1">
        <v>8423333</v>
      </c>
      <c r="D62" s="1">
        <v>810183</v>
      </c>
      <c r="F62" s="1">
        <v>7275</v>
      </c>
      <c r="H62" s="1">
        <v>35</v>
      </c>
      <c r="I62" s="1">
        <v>25525</v>
      </c>
      <c r="J62" s="1">
        <v>20420200</v>
      </c>
      <c r="K62" s="1">
        <v>1620365</v>
      </c>
      <c r="L62" s="1">
        <v>35</v>
      </c>
      <c r="M62" s="1">
        <v>24549</v>
      </c>
      <c r="N62" s="1">
        <v>19639200</v>
      </c>
      <c r="O62" s="1">
        <v>1620365</v>
      </c>
      <c r="P62" s="1">
        <v>36</v>
      </c>
      <c r="Q62" s="1">
        <v>20964200</v>
      </c>
      <c r="R62" s="1">
        <v>1780058</v>
      </c>
      <c r="T62" s="3">
        <v>0.49408999999999997</v>
      </c>
      <c r="U62" s="1">
        <f t="shared" si="22"/>
        <v>10089416.617999999</v>
      </c>
      <c r="V62" s="1">
        <f t="shared" si="20"/>
        <v>800606.14284999995</v>
      </c>
      <c r="W62" s="1">
        <f t="shared" si="23"/>
        <v>9703532.3279999997</v>
      </c>
      <c r="X62" s="1">
        <f t="shared" si="21"/>
        <v>800606.14284999995</v>
      </c>
      <c r="Y62" s="1">
        <f t="shared" si="24"/>
        <v>10358201.578</v>
      </c>
      <c r="Z62" s="1">
        <f t="shared" si="16"/>
        <v>879508.85722000001</v>
      </c>
      <c r="AB62" s="1">
        <f t="shared" si="10"/>
        <v>8423333</v>
      </c>
      <c r="AC62" s="1">
        <f t="shared" si="11"/>
        <v>10358201.578</v>
      </c>
      <c r="AD62" s="1">
        <f t="shared" si="12"/>
        <v>9643620.881000001</v>
      </c>
      <c r="AE62" s="1">
        <f t="shared" si="17"/>
        <v>800606.14284999995</v>
      </c>
      <c r="AF62" s="1">
        <f t="shared" si="18"/>
        <v>879508.85722000001</v>
      </c>
      <c r="AG62" s="1">
        <f t="shared" si="19"/>
        <v>822726.03573</v>
      </c>
    </row>
    <row r="63" spans="1:33" x14ac:dyDescent="0.25">
      <c r="A63" s="4">
        <v>1737</v>
      </c>
      <c r="C63" s="1">
        <v>7114883</v>
      </c>
      <c r="D63" s="1">
        <v>1628214</v>
      </c>
      <c r="F63" s="1">
        <v>8467</v>
      </c>
      <c r="H63" s="1">
        <v>34</v>
      </c>
      <c r="I63" s="1">
        <v>21560</v>
      </c>
      <c r="J63" s="1">
        <v>17248200</v>
      </c>
      <c r="K63" s="1">
        <v>3256472</v>
      </c>
      <c r="L63" s="1">
        <v>34</v>
      </c>
      <c r="M63" s="1">
        <v>20842</v>
      </c>
      <c r="N63" s="1">
        <v>16673600</v>
      </c>
      <c r="O63" s="1">
        <v>3256472</v>
      </c>
      <c r="P63" s="1">
        <v>34</v>
      </c>
      <c r="Q63" s="1">
        <v>16679000</v>
      </c>
      <c r="R63" s="1">
        <v>3246472</v>
      </c>
      <c r="T63" s="3">
        <v>0.49408999999999997</v>
      </c>
      <c r="U63" s="1">
        <f t="shared" si="22"/>
        <v>8522163.1380000003</v>
      </c>
      <c r="V63" s="1">
        <f t="shared" si="20"/>
        <v>1608990.2504799999</v>
      </c>
      <c r="W63" s="1">
        <f t="shared" si="23"/>
        <v>8238259.0239999993</v>
      </c>
      <c r="X63" s="1">
        <f t="shared" si="21"/>
        <v>1608990.2504799999</v>
      </c>
      <c r="Y63" s="1">
        <f t="shared" si="24"/>
        <v>8240927.1099999994</v>
      </c>
      <c r="Z63" s="1">
        <f t="shared" si="16"/>
        <v>1604049.35048</v>
      </c>
      <c r="AB63" s="1">
        <f t="shared" si="10"/>
        <v>7114883</v>
      </c>
      <c r="AC63" s="1">
        <f t="shared" si="11"/>
        <v>8522163.1380000003</v>
      </c>
      <c r="AD63" s="1">
        <f t="shared" si="12"/>
        <v>8029058.068</v>
      </c>
      <c r="AE63" s="1">
        <f t="shared" si="17"/>
        <v>1604049.35048</v>
      </c>
      <c r="AF63" s="1">
        <f t="shared" si="18"/>
        <v>1628214</v>
      </c>
      <c r="AG63" s="1">
        <f t="shared" si="19"/>
        <v>1612560.9628599999</v>
      </c>
    </row>
    <row r="64" spans="1:33" x14ac:dyDescent="0.25">
      <c r="A64" s="4">
        <v>1738</v>
      </c>
      <c r="C64" s="1">
        <v>7473923</v>
      </c>
      <c r="D64" s="1">
        <v>1200630</v>
      </c>
      <c r="F64" s="1">
        <v>15158</v>
      </c>
      <c r="H64" s="1">
        <v>33</v>
      </c>
      <c r="I64" s="1">
        <v>22648</v>
      </c>
      <c r="J64" s="1">
        <v>18118600</v>
      </c>
      <c r="K64" s="1">
        <v>2401260</v>
      </c>
      <c r="L64" s="1">
        <v>33</v>
      </c>
      <c r="M64" s="1">
        <v>21817</v>
      </c>
      <c r="N64" s="1">
        <v>17453600</v>
      </c>
      <c r="O64" s="1">
        <v>2401260</v>
      </c>
      <c r="P64" s="1">
        <v>33</v>
      </c>
      <c r="Q64" s="1">
        <v>17553800</v>
      </c>
      <c r="R64" s="1">
        <v>2401258</v>
      </c>
      <c r="T64" s="3">
        <v>0.49408999999999997</v>
      </c>
      <c r="U64" s="1">
        <f t="shared" si="22"/>
        <v>8952219.0739999991</v>
      </c>
      <c r="V64" s="1">
        <f t="shared" si="20"/>
        <v>1186438.5533999999</v>
      </c>
      <c r="W64" s="1">
        <f t="shared" si="23"/>
        <v>8623649.2239999995</v>
      </c>
      <c r="X64" s="1">
        <f t="shared" si="21"/>
        <v>1186438.5533999999</v>
      </c>
      <c r="Y64" s="1">
        <f t="shared" si="24"/>
        <v>8673157.0419999994</v>
      </c>
      <c r="Z64" s="1">
        <f t="shared" si="16"/>
        <v>1186437.56522</v>
      </c>
      <c r="AB64" s="1">
        <f t="shared" si="10"/>
        <v>7473923</v>
      </c>
      <c r="AC64" s="1">
        <f t="shared" si="11"/>
        <v>8952219.0739999991</v>
      </c>
      <c r="AD64" s="1">
        <f t="shared" si="12"/>
        <v>8430737.0850000009</v>
      </c>
      <c r="AE64" s="1">
        <f t="shared" si="17"/>
        <v>1186437.56522</v>
      </c>
      <c r="AF64" s="1">
        <f t="shared" si="18"/>
        <v>1200630</v>
      </c>
      <c r="AG64" s="1">
        <f t="shared" si="19"/>
        <v>1189986.1680049999</v>
      </c>
    </row>
    <row r="65" spans="1:33" x14ac:dyDescent="0.25">
      <c r="A65" s="4">
        <v>1739</v>
      </c>
      <c r="C65" s="1">
        <v>6313230</v>
      </c>
      <c r="D65" s="1">
        <v>1592467</v>
      </c>
      <c r="F65" s="1">
        <v>28476</v>
      </c>
      <c r="H65" s="1">
        <v>36</v>
      </c>
      <c r="I65" s="1">
        <v>19131</v>
      </c>
      <c r="J65" s="1">
        <v>15304800</v>
      </c>
      <c r="K65" s="1">
        <v>3184933</v>
      </c>
      <c r="L65" s="1">
        <v>36</v>
      </c>
      <c r="M65" s="1">
        <v>18275</v>
      </c>
      <c r="N65" s="1">
        <v>14620000</v>
      </c>
      <c r="O65" s="1">
        <v>3184933</v>
      </c>
      <c r="P65" s="1">
        <v>36</v>
      </c>
      <c r="Q65" s="1">
        <v>14620500</v>
      </c>
      <c r="R65" s="1">
        <v>3184931</v>
      </c>
      <c r="T65" s="3">
        <v>0.49408999999999997</v>
      </c>
      <c r="U65" s="1">
        <f t="shared" si="22"/>
        <v>7561948.6319999993</v>
      </c>
      <c r="V65" s="1">
        <f t="shared" si="20"/>
        <v>1573643.5459699999</v>
      </c>
      <c r="W65" s="1">
        <f t="shared" si="23"/>
        <v>7223595.7999999998</v>
      </c>
      <c r="X65" s="1">
        <f t="shared" si="21"/>
        <v>1573643.5459699999</v>
      </c>
      <c r="Y65" s="1">
        <f t="shared" si="24"/>
        <v>7223842.8449999997</v>
      </c>
      <c r="Z65" s="1">
        <f t="shared" si="16"/>
        <v>1573642.55779</v>
      </c>
      <c r="AB65" s="1">
        <f t="shared" si="10"/>
        <v>6313230</v>
      </c>
      <c r="AC65" s="1">
        <f t="shared" si="11"/>
        <v>7561948.6319999993</v>
      </c>
      <c r="AD65" s="1">
        <f t="shared" si="12"/>
        <v>7080654.3192499997</v>
      </c>
      <c r="AE65" s="1">
        <f t="shared" si="17"/>
        <v>1573642.55779</v>
      </c>
      <c r="AF65" s="1">
        <f t="shared" si="18"/>
        <v>1592467</v>
      </c>
      <c r="AG65" s="1">
        <f t="shared" si="19"/>
        <v>1578349.1624324999</v>
      </c>
    </row>
    <row r="66" spans="1:33" x14ac:dyDescent="0.25">
      <c r="A66" s="4">
        <v>1740</v>
      </c>
      <c r="C66" s="1">
        <v>7995240</v>
      </c>
      <c r="D66" s="1">
        <v>2485623</v>
      </c>
      <c r="F66" s="1">
        <v>38927</v>
      </c>
      <c r="H66" s="1">
        <v>44</v>
      </c>
      <c r="I66" s="1">
        <v>24224</v>
      </c>
      <c r="J66" s="1">
        <v>19379200</v>
      </c>
      <c r="K66" s="1">
        <v>4971246</v>
      </c>
      <c r="L66" s="1">
        <v>44</v>
      </c>
      <c r="M66" s="1">
        <v>23363</v>
      </c>
      <c r="N66" s="1">
        <v>18690400</v>
      </c>
      <c r="O66" s="1">
        <v>4971246</v>
      </c>
      <c r="P66" s="1">
        <v>44</v>
      </c>
      <c r="Q66" s="1">
        <v>18692000</v>
      </c>
      <c r="R66" s="1">
        <v>5109002</v>
      </c>
      <c r="T66" s="3">
        <v>0.49408999999999997</v>
      </c>
      <c r="U66" s="1">
        <f t="shared" si="22"/>
        <v>9575068.9279999994</v>
      </c>
      <c r="V66" s="1">
        <f t="shared" si="20"/>
        <v>2456242.9361399999</v>
      </c>
      <c r="W66" s="1">
        <f t="shared" si="23"/>
        <v>9234739.7359999996</v>
      </c>
      <c r="X66" s="1">
        <f t="shared" si="21"/>
        <v>2456242.9361399999</v>
      </c>
      <c r="Y66" s="1">
        <f t="shared" si="24"/>
        <v>9235530.2799999993</v>
      </c>
      <c r="Z66" s="1">
        <f t="shared" si="16"/>
        <v>2524306.7981799999</v>
      </c>
      <c r="AB66" s="1">
        <f t="shared" si="10"/>
        <v>7995240</v>
      </c>
      <c r="AC66" s="1">
        <f t="shared" si="11"/>
        <v>9575068.9279999994</v>
      </c>
      <c r="AD66" s="1">
        <f t="shared" si="12"/>
        <v>9010144.7359999996</v>
      </c>
      <c r="AE66" s="1">
        <f t="shared" si="17"/>
        <v>2456242.9361399999</v>
      </c>
      <c r="AF66" s="1">
        <f t="shared" si="18"/>
        <v>2524306.7981799999</v>
      </c>
      <c r="AG66" s="1">
        <f t="shared" si="19"/>
        <v>2480603.9176150002</v>
      </c>
    </row>
    <row r="67" spans="1:33" x14ac:dyDescent="0.25">
      <c r="A67" s="4">
        <v>1741</v>
      </c>
      <c r="C67" s="1">
        <v>8369790</v>
      </c>
      <c r="D67" s="1">
        <v>2431724</v>
      </c>
      <c r="F67" s="1">
        <v>82006</v>
      </c>
      <c r="H67" s="1">
        <v>50</v>
      </c>
      <c r="I67" s="1">
        <v>25363</v>
      </c>
      <c r="J67" s="1">
        <v>20290000</v>
      </c>
      <c r="K67" s="1">
        <v>4863447</v>
      </c>
      <c r="L67" s="1">
        <v>47</v>
      </c>
      <c r="M67" s="1">
        <v>24627</v>
      </c>
      <c r="N67" s="1">
        <v>19701600</v>
      </c>
      <c r="O67" s="1">
        <v>4863477</v>
      </c>
      <c r="P67" s="1">
        <v>50</v>
      </c>
      <c r="Q67" s="1">
        <v>19701000</v>
      </c>
      <c r="R67" s="1">
        <v>4864348</v>
      </c>
      <c r="T67" s="3">
        <v>0.49408999999999997</v>
      </c>
      <c r="U67" s="1">
        <f t="shared" si="22"/>
        <v>10025086.1</v>
      </c>
      <c r="V67" s="1">
        <f t="shared" si="20"/>
        <v>2402980.5282299998</v>
      </c>
      <c r="W67" s="1">
        <f t="shared" si="23"/>
        <v>9734363.5439999998</v>
      </c>
      <c r="X67" s="1">
        <f t="shared" si="21"/>
        <v>2402995.3509299997</v>
      </c>
      <c r="Y67" s="1">
        <f t="shared" si="24"/>
        <v>9734067.0899999999</v>
      </c>
      <c r="Z67" s="1">
        <f t="shared" si="16"/>
        <v>2403425.7033199999</v>
      </c>
      <c r="AB67" s="1">
        <f t="shared" si="10"/>
        <v>8369790</v>
      </c>
      <c r="AC67" s="1">
        <f t="shared" si="11"/>
        <v>10025086.1</v>
      </c>
      <c r="AD67" s="1">
        <f t="shared" si="12"/>
        <v>9465826.6834999993</v>
      </c>
      <c r="AE67" s="1">
        <f t="shared" si="17"/>
        <v>2402980.5282299998</v>
      </c>
      <c r="AF67" s="1">
        <f t="shared" si="18"/>
        <v>2431724</v>
      </c>
      <c r="AG67" s="1">
        <f t="shared" si="19"/>
        <v>2410281.3956200001</v>
      </c>
    </row>
    <row r="68" spans="1:33" x14ac:dyDescent="0.25">
      <c r="A68" s="4">
        <v>1742</v>
      </c>
      <c r="C68" s="1">
        <v>10128690</v>
      </c>
      <c r="D68" s="1">
        <v>1378351</v>
      </c>
      <c r="F68" s="1">
        <v>112529</v>
      </c>
      <c r="H68" s="1">
        <v>50</v>
      </c>
      <c r="I68" s="1">
        <v>30693</v>
      </c>
      <c r="J68" s="1">
        <v>24554600</v>
      </c>
      <c r="K68" s="1">
        <v>2765702</v>
      </c>
      <c r="L68" s="1">
        <v>50</v>
      </c>
      <c r="M68" s="1">
        <v>29749</v>
      </c>
      <c r="N68" s="1">
        <v>23799200</v>
      </c>
      <c r="O68" s="1">
        <v>2765707</v>
      </c>
      <c r="P68" s="1">
        <v>50</v>
      </c>
      <c r="Q68" s="1">
        <v>23802400</v>
      </c>
      <c r="R68" s="1">
        <v>2786707</v>
      </c>
      <c r="T68" s="3">
        <v>0.49408999999999997</v>
      </c>
      <c r="U68" s="1">
        <f t="shared" si="22"/>
        <v>12132182.313999999</v>
      </c>
      <c r="V68" s="1">
        <f t="shared" si="20"/>
        <v>1366505.7011799999</v>
      </c>
      <c r="W68" s="1">
        <f t="shared" si="23"/>
        <v>11758946.728</v>
      </c>
      <c r="X68" s="1">
        <f t="shared" si="21"/>
        <v>1366508.17163</v>
      </c>
      <c r="Y68" s="1">
        <f t="shared" si="24"/>
        <v>11760527.816</v>
      </c>
      <c r="Z68" s="1">
        <f t="shared" si="16"/>
        <v>1376884.0616299999</v>
      </c>
      <c r="AB68" s="1">
        <f t="shared" si="10"/>
        <v>10128690</v>
      </c>
      <c r="AC68" s="1">
        <f t="shared" si="11"/>
        <v>12132182.313999999</v>
      </c>
      <c r="AD68" s="1">
        <f t="shared" si="12"/>
        <v>11445086.714499999</v>
      </c>
      <c r="AE68" s="1">
        <f t="shared" si="17"/>
        <v>1366505.7011799999</v>
      </c>
      <c r="AF68" s="1">
        <f t="shared" si="18"/>
        <v>1378351</v>
      </c>
      <c r="AG68" s="1">
        <f t="shared" si="19"/>
        <v>1372062.23361</v>
      </c>
    </row>
    <row r="69" spans="1:33" x14ac:dyDescent="0.25">
      <c r="A69" s="4">
        <v>1743</v>
      </c>
      <c r="C69" s="1">
        <v>6513540</v>
      </c>
      <c r="D69" s="1">
        <v>1503507</v>
      </c>
      <c r="F69" s="1">
        <v>128446</v>
      </c>
      <c r="H69" s="1">
        <v>47</v>
      </c>
      <c r="I69" s="1">
        <v>19738</v>
      </c>
      <c r="J69" s="1">
        <v>15790600</v>
      </c>
      <c r="K69" s="1">
        <v>3007014</v>
      </c>
      <c r="L69" s="1">
        <v>47</v>
      </c>
      <c r="M69" s="1">
        <v>18990</v>
      </c>
      <c r="N69" s="1">
        <v>15192000</v>
      </c>
      <c r="O69" s="1">
        <v>3007014</v>
      </c>
      <c r="P69" s="1">
        <v>47</v>
      </c>
      <c r="Q69" s="1">
        <v>15193600</v>
      </c>
      <c r="R69" s="1">
        <v>2786054</v>
      </c>
      <c r="T69" s="3">
        <v>0.49408999999999997</v>
      </c>
      <c r="U69" s="1">
        <f t="shared" si="22"/>
        <v>7801977.5539999995</v>
      </c>
      <c r="V69" s="1">
        <f t="shared" si="20"/>
        <v>1485735.5472599999</v>
      </c>
      <c r="W69" s="1">
        <f t="shared" si="23"/>
        <v>7506215.2799999993</v>
      </c>
      <c r="X69" s="1">
        <f t="shared" si="21"/>
        <v>1485735.5472599999</v>
      </c>
      <c r="Y69" s="1">
        <f t="shared" si="24"/>
        <v>7507005.824</v>
      </c>
      <c r="Z69" s="1">
        <f t="shared" si="16"/>
        <v>1376561.42086</v>
      </c>
      <c r="AB69" s="1">
        <f t="shared" si="10"/>
        <v>6513540</v>
      </c>
      <c r="AC69" s="1">
        <f t="shared" si="11"/>
        <v>7801977.5539999995</v>
      </c>
      <c r="AD69" s="1">
        <f t="shared" si="12"/>
        <v>7332184.6645</v>
      </c>
      <c r="AE69" s="1">
        <f t="shared" si="17"/>
        <v>1376561.42086</v>
      </c>
      <c r="AF69" s="1">
        <f t="shared" si="18"/>
        <v>1503507</v>
      </c>
      <c r="AG69" s="1">
        <f t="shared" si="19"/>
        <v>1462884.8788449999</v>
      </c>
    </row>
    <row r="70" spans="1:33" x14ac:dyDescent="0.25">
      <c r="A70" s="4">
        <v>1744</v>
      </c>
      <c r="C70" s="1">
        <v>7372860</v>
      </c>
      <c r="D70" s="1">
        <v>1748561</v>
      </c>
      <c r="F70" s="1">
        <v>203511</v>
      </c>
      <c r="H70" s="1">
        <v>46</v>
      </c>
      <c r="I70" s="1">
        <v>22342</v>
      </c>
      <c r="J70" s="1">
        <v>17873800</v>
      </c>
      <c r="K70" s="1">
        <v>3497121</v>
      </c>
      <c r="L70" s="1">
        <v>46</v>
      </c>
      <c r="M70" s="1">
        <v>21477</v>
      </c>
      <c r="N70" s="1">
        <v>17181600</v>
      </c>
      <c r="O70" s="1">
        <v>3497121</v>
      </c>
      <c r="P70" s="1">
        <v>46</v>
      </c>
      <c r="Q70" s="1">
        <v>17145600</v>
      </c>
      <c r="R70" s="1">
        <v>3477121</v>
      </c>
      <c r="T70" s="3">
        <v>0.49408999999999997</v>
      </c>
      <c r="U70" s="1">
        <f t="shared" si="22"/>
        <v>8831265.8420000002</v>
      </c>
      <c r="V70" s="1">
        <f t="shared" si="20"/>
        <v>1727892.51489</v>
      </c>
      <c r="W70" s="1">
        <f t="shared" si="23"/>
        <v>8489256.743999999</v>
      </c>
      <c r="X70" s="1">
        <f t="shared" si="21"/>
        <v>1727892.51489</v>
      </c>
      <c r="Y70" s="1">
        <f t="shared" si="24"/>
        <v>8471469.5039999988</v>
      </c>
      <c r="Z70" s="1">
        <f t="shared" si="16"/>
        <v>1718010.7148899999</v>
      </c>
      <c r="AB70" s="1">
        <f t="shared" si="10"/>
        <v>7372860</v>
      </c>
      <c r="AC70" s="1">
        <f t="shared" si="11"/>
        <v>8831265.8420000002</v>
      </c>
      <c r="AD70" s="1">
        <f t="shared" si="12"/>
        <v>8291213.022499999</v>
      </c>
      <c r="AE70" s="1">
        <f t="shared" si="17"/>
        <v>1718010.7148899999</v>
      </c>
      <c r="AF70" s="1">
        <f t="shared" si="18"/>
        <v>1748561</v>
      </c>
      <c r="AG70" s="1">
        <f t="shared" si="19"/>
        <v>1730589.1861675</v>
      </c>
    </row>
    <row r="71" spans="1:33" x14ac:dyDescent="0.25">
      <c r="A71" s="4">
        <v>1745</v>
      </c>
      <c r="C71" s="1">
        <v>7541490</v>
      </c>
      <c r="D71" s="1">
        <v>1196388</v>
      </c>
      <c r="F71" s="1">
        <v>337375</v>
      </c>
      <c r="H71" s="1">
        <v>48</v>
      </c>
      <c r="I71" s="1">
        <v>22853</v>
      </c>
      <c r="J71" s="1">
        <v>18282600</v>
      </c>
      <c r="K71" s="1">
        <v>2392776</v>
      </c>
      <c r="L71" s="1">
        <v>48</v>
      </c>
      <c r="M71" s="1">
        <v>22009</v>
      </c>
      <c r="N71" s="1">
        <v>17607200</v>
      </c>
      <c r="O71" s="1">
        <v>2392776</v>
      </c>
      <c r="P71" s="1">
        <v>47</v>
      </c>
      <c r="Q71" s="1">
        <v>17524800</v>
      </c>
      <c r="R71" s="1">
        <v>2345033</v>
      </c>
      <c r="T71" s="3">
        <v>0.49408999999999997</v>
      </c>
      <c r="U71" s="1">
        <f t="shared" si="22"/>
        <v>9033249.8339999989</v>
      </c>
      <c r="V71" s="1">
        <f t="shared" si="20"/>
        <v>1182246.6938399998</v>
      </c>
      <c r="W71" s="1">
        <f t="shared" si="23"/>
        <v>8699541.4479999989</v>
      </c>
      <c r="X71" s="1">
        <f t="shared" si="21"/>
        <v>1182246.6938399998</v>
      </c>
      <c r="Y71" s="1">
        <f t="shared" si="24"/>
        <v>8658828.432</v>
      </c>
      <c r="Z71" s="1">
        <f t="shared" si="16"/>
        <v>1158657.35497</v>
      </c>
      <c r="AB71" s="1">
        <f t="shared" si="10"/>
        <v>7541490</v>
      </c>
      <c r="AC71" s="1">
        <f t="shared" si="11"/>
        <v>9033249.8339999989</v>
      </c>
      <c r="AD71" s="1">
        <f t="shared" si="12"/>
        <v>8483277.4285000004</v>
      </c>
      <c r="AE71" s="1">
        <f t="shared" si="17"/>
        <v>1158657.35497</v>
      </c>
      <c r="AF71" s="1">
        <f t="shared" si="18"/>
        <v>1196388</v>
      </c>
      <c r="AG71" s="1">
        <f t="shared" si="19"/>
        <v>1179884.6856624999</v>
      </c>
    </row>
    <row r="72" spans="1:33" x14ac:dyDescent="0.25">
      <c r="A72" s="4">
        <v>1746</v>
      </c>
      <c r="C72" s="1">
        <v>6498030</v>
      </c>
      <c r="D72" s="1">
        <v>1288932</v>
      </c>
      <c r="F72" s="1">
        <v>273618</v>
      </c>
      <c r="H72" s="1">
        <v>43</v>
      </c>
      <c r="I72" s="1">
        <v>19691</v>
      </c>
      <c r="J72" s="1">
        <v>15753000</v>
      </c>
      <c r="K72" s="1">
        <v>2577864</v>
      </c>
      <c r="L72" s="1">
        <v>42</v>
      </c>
      <c r="M72" s="1">
        <v>18971</v>
      </c>
      <c r="N72" s="1">
        <v>15176800</v>
      </c>
      <c r="O72" s="1">
        <v>2577864</v>
      </c>
      <c r="P72" s="1">
        <v>43</v>
      </c>
      <c r="Q72" s="1">
        <v>15259200</v>
      </c>
      <c r="R72" s="1">
        <v>2486976</v>
      </c>
      <c r="T72" s="3">
        <v>0.49408999999999997</v>
      </c>
      <c r="U72" s="1">
        <f t="shared" si="22"/>
        <v>7783399.7699999996</v>
      </c>
      <c r="V72" s="1">
        <f t="shared" si="20"/>
        <v>1273696.8237599998</v>
      </c>
      <c r="W72" s="1">
        <f t="shared" si="23"/>
        <v>7498705.1119999997</v>
      </c>
      <c r="X72" s="1">
        <f t="shared" si="21"/>
        <v>1273696.8237599998</v>
      </c>
      <c r="Y72" s="1">
        <f t="shared" si="24"/>
        <v>7539418.1279999996</v>
      </c>
      <c r="Z72" s="1">
        <f t="shared" si="16"/>
        <v>1228789.97184</v>
      </c>
      <c r="AB72" s="1">
        <f t="shared" si="10"/>
        <v>6498030</v>
      </c>
      <c r="AC72" s="1">
        <f t="shared" si="11"/>
        <v>7783399.7699999996</v>
      </c>
      <c r="AD72" s="1">
        <f t="shared" si="12"/>
        <v>7329888.2524999995</v>
      </c>
      <c r="AE72" s="1">
        <f t="shared" si="17"/>
        <v>1228789.97184</v>
      </c>
      <c r="AF72" s="1">
        <f t="shared" si="18"/>
        <v>1288932</v>
      </c>
      <c r="AG72" s="1">
        <f t="shared" si="19"/>
        <v>1266278.90484</v>
      </c>
    </row>
    <row r="73" spans="1:33" x14ac:dyDescent="0.25">
      <c r="A73" s="4">
        <v>1747</v>
      </c>
      <c r="C73" s="1">
        <v>5984220</v>
      </c>
      <c r="D73" s="1">
        <v>2050001</v>
      </c>
      <c r="F73" s="1">
        <v>176918</v>
      </c>
      <c r="H73" s="1">
        <v>38</v>
      </c>
      <c r="I73" s="1">
        <v>18135</v>
      </c>
      <c r="J73" s="1">
        <v>14507600</v>
      </c>
      <c r="K73" s="1">
        <v>4100001</v>
      </c>
      <c r="L73" s="1">
        <v>38</v>
      </c>
      <c r="M73" s="1">
        <v>17223</v>
      </c>
      <c r="N73" s="1">
        <v>13778400</v>
      </c>
      <c r="O73" s="1">
        <v>4100001</v>
      </c>
      <c r="P73" s="1">
        <v>37</v>
      </c>
      <c r="Q73" s="1">
        <v>13779200</v>
      </c>
      <c r="R73" s="1">
        <v>4099892</v>
      </c>
      <c r="T73" s="3">
        <v>0.49408999999999997</v>
      </c>
      <c r="U73" s="1">
        <f t="shared" si="22"/>
        <v>7168060.0839999998</v>
      </c>
      <c r="V73" s="1">
        <f t="shared" si="20"/>
        <v>2025769.4940899999</v>
      </c>
      <c r="W73" s="1">
        <f t="shared" si="23"/>
        <v>6807769.6559999995</v>
      </c>
      <c r="X73" s="1">
        <f t="shared" si="21"/>
        <v>2025769.4940899999</v>
      </c>
      <c r="Y73" s="1">
        <f t="shared" si="24"/>
        <v>6808164.9279999994</v>
      </c>
      <c r="Z73" s="1">
        <f t="shared" si="16"/>
        <v>2025715.6382799998</v>
      </c>
      <c r="AB73" s="1">
        <f t="shared" ref="AB73:AB104" si="25">MIN(Y73,W73,U73,C73)</f>
        <v>5984220</v>
      </c>
      <c r="AC73" s="1">
        <f t="shared" ref="AC73:AC104" si="26">MAX(Y73,W73,U73,C73)</f>
        <v>7168060.0839999998</v>
      </c>
      <c r="AD73" s="1">
        <f t="shared" ref="AD73:AD104" si="27">AVERAGE(C73,U73,W73,Y73)</f>
        <v>6692053.6669999994</v>
      </c>
      <c r="AE73" s="1">
        <f t="shared" si="17"/>
        <v>2025715.6382799998</v>
      </c>
      <c r="AF73" s="1">
        <f t="shared" si="18"/>
        <v>2050001</v>
      </c>
      <c r="AG73" s="1">
        <f t="shared" si="19"/>
        <v>2031813.906615</v>
      </c>
    </row>
    <row r="74" spans="1:33" x14ac:dyDescent="0.25">
      <c r="A74" s="4">
        <v>1748</v>
      </c>
      <c r="C74" s="1">
        <v>6622770</v>
      </c>
      <c r="D74" s="1">
        <v>703774</v>
      </c>
      <c r="F74" s="1">
        <v>160431</v>
      </c>
      <c r="H74" s="1">
        <v>40</v>
      </c>
      <c r="I74" s="1">
        <v>20069</v>
      </c>
      <c r="J74" s="1">
        <v>16055200</v>
      </c>
      <c r="K74" s="1">
        <v>1407547</v>
      </c>
      <c r="L74" s="1">
        <v>40</v>
      </c>
      <c r="M74" s="1">
        <v>19039</v>
      </c>
      <c r="N74" s="1">
        <v>15231200</v>
      </c>
      <c r="O74" s="1">
        <v>1407547</v>
      </c>
      <c r="P74" s="1">
        <v>40</v>
      </c>
      <c r="Q74" s="1">
        <v>15224000</v>
      </c>
      <c r="R74" s="1">
        <v>1407517</v>
      </c>
      <c r="T74" s="3">
        <v>0.49408999999999997</v>
      </c>
      <c r="U74" s="1">
        <f t="shared" si="22"/>
        <v>7932713.7679999992</v>
      </c>
      <c r="V74" s="1">
        <f t="shared" si="20"/>
        <v>695454.89723</v>
      </c>
      <c r="W74" s="1">
        <f t="shared" si="23"/>
        <v>7525583.608</v>
      </c>
      <c r="X74" s="1">
        <f t="shared" si="21"/>
        <v>695454.89723</v>
      </c>
      <c r="Y74" s="1">
        <f t="shared" si="24"/>
        <v>7522026.1599999992</v>
      </c>
      <c r="Z74" s="1">
        <f t="shared" si="16"/>
        <v>695440.07452999998</v>
      </c>
      <c r="AB74" s="1">
        <f t="shared" si="25"/>
        <v>6622770</v>
      </c>
      <c r="AC74" s="1">
        <f t="shared" si="26"/>
        <v>7932713.7679999992</v>
      </c>
      <c r="AD74" s="1">
        <f t="shared" si="27"/>
        <v>7400773.3839999996</v>
      </c>
      <c r="AE74" s="1">
        <f t="shared" si="17"/>
        <v>695440.07452999998</v>
      </c>
      <c r="AF74" s="1">
        <f t="shared" si="18"/>
        <v>703774</v>
      </c>
      <c r="AG74" s="1">
        <f t="shared" si="19"/>
        <v>697530.96724750008</v>
      </c>
    </row>
    <row r="75" spans="1:33" x14ac:dyDescent="0.25">
      <c r="A75" s="4">
        <v>1749</v>
      </c>
      <c r="C75" s="1">
        <v>7504530</v>
      </c>
      <c r="D75" s="1">
        <v>1583511</v>
      </c>
      <c r="F75" s="1">
        <v>143948</v>
      </c>
      <c r="H75" s="1">
        <v>40</v>
      </c>
      <c r="I75" s="1">
        <v>22741</v>
      </c>
      <c r="J75" s="1">
        <v>18193000</v>
      </c>
      <c r="K75" s="1">
        <v>3167021</v>
      </c>
      <c r="L75" s="1">
        <v>40</v>
      </c>
      <c r="M75" s="1">
        <v>21889</v>
      </c>
      <c r="N75" s="1">
        <v>17511200</v>
      </c>
      <c r="O75" s="1">
        <v>3167021</v>
      </c>
      <c r="P75" s="1">
        <v>40</v>
      </c>
      <c r="Q75" s="1">
        <v>17232000</v>
      </c>
      <c r="R75" s="1">
        <v>3156197</v>
      </c>
      <c r="T75" s="3">
        <v>0.49408999999999997</v>
      </c>
      <c r="U75" s="1">
        <f t="shared" si="22"/>
        <v>8988979.3699999992</v>
      </c>
      <c r="V75" s="1">
        <f t="shared" si="20"/>
        <v>1564793.4058899998</v>
      </c>
      <c r="W75" s="1">
        <f t="shared" si="23"/>
        <v>8652108.8080000002</v>
      </c>
      <c r="X75" s="1">
        <f t="shared" si="21"/>
        <v>1564793.4058899998</v>
      </c>
      <c r="Y75" s="1">
        <f t="shared" si="24"/>
        <v>8514158.879999999</v>
      </c>
      <c r="Z75" s="1">
        <f t="shared" si="16"/>
        <v>1559445.37573</v>
      </c>
      <c r="AB75" s="1">
        <f t="shared" si="25"/>
        <v>7504530</v>
      </c>
      <c r="AC75" s="1">
        <f t="shared" si="26"/>
        <v>8988979.3699999992</v>
      </c>
      <c r="AD75" s="1">
        <f t="shared" si="27"/>
        <v>8414944.2644999996</v>
      </c>
      <c r="AE75" s="1">
        <f t="shared" si="17"/>
        <v>1559445.37573</v>
      </c>
      <c r="AF75" s="1">
        <f t="shared" si="18"/>
        <v>1583511</v>
      </c>
      <c r="AG75" s="1">
        <f t="shared" si="19"/>
        <v>1568135.7968774999</v>
      </c>
    </row>
    <row r="76" spans="1:33" x14ac:dyDescent="0.25">
      <c r="A76" s="4">
        <v>1750</v>
      </c>
      <c r="C76" s="1">
        <v>10148820</v>
      </c>
      <c r="D76" s="1">
        <v>1768170</v>
      </c>
      <c r="F76" s="1">
        <v>169441</v>
      </c>
      <c r="H76" s="1">
        <v>49</v>
      </c>
      <c r="I76" s="1">
        <v>30754</v>
      </c>
      <c r="J76" s="1">
        <v>24603400</v>
      </c>
      <c r="K76" s="1">
        <v>3536339</v>
      </c>
      <c r="L76" s="1">
        <v>49</v>
      </c>
      <c r="M76" s="1">
        <v>29741</v>
      </c>
      <c r="N76" s="1">
        <v>23792800</v>
      </c>
      <c r="O76" s="1">
        <v>3536480</v>
      </c>
      <c r="P76" s="1">
        <v>50</v>
      </c>
      <c r="Q76" s="1">
        <v>24646800</v>
      </c>
      <c r="R76" s="1">
        <v>3593423</v>
      </c>
      <c r="T76" s="3">
        <v>0.49408999999999997</v>
      </c>
      <c r="U76" s="1">
        <f t="shared" si="22"/>
        <v>12156293.905999999</v>
      </c>
      <c r="V76" s="1">
        <f t="shared" si="20"/>
        <v>1747269.73651</v>
      </c>
      <c r="W76" s="1">
        <f t="shared" si="23"/>
        <v>11755784.551999999</v>
      </c>
      <c r="X76" s="1">
        <f t="shared" si="21"/>
        <v>1747339.4031999998</v>
      </c>
      <c r="Y76" s="1">
        <f t="shared" si="24"/>
        <v>12177737.411999999</v>
      </c>
      <c r="Z76" s="1">
        <f t="shared" si="16"/>
        <v>1775474.3700699999</v>
      </c>
      <c r="AB76" s="1">
        <f t="shared" si="25"/>
        <v>10148820</v>
      </c>
      <c r="AC76" s="1">
        <f t="shared" si="26"/>
        <v>12177737.411999999</v>
      </c>
      <c r="AD76" s="1">
        <f t="shared" si="27"/>
        <v>11559658.967499999</v>
      </c>
      <c r="AE76" s="1">
        <f t="shared" si="17"/>
        <v>1747269.73651</v>
      </c>
      <c r="AF76" s="1">
        <f t="shared" si="18"/>
        <v>1775474.3700699999</v>
      </c>
      <c r="AG76" s="1">
        <f t="shared" si="19"/>
        <v>1759563.377445</v>
      </c>
    </row>
    <row r="77" spans="1:33" x14ac:dyDescent="0.25">
      <c r="A77" s="4">
        <v>1751</v>
      </c>
      <c r="C77" s="1">
        <v>9290820</v>
      </c>
      <c r="D77" s="1">
        <v>2165649</v>
      </c>
      <c r="F77" s="1">
        <v>102654</v>
      </c>
      <c r="H77" s="1">
        <v>49</v>
      </c>
      <c r="I77" s="1">
        <v>28154</v>
      </c>
      <c r="J77" s="1">
        <v>22522800</v>
      </c>
      <c r="K77" s="1">
        <v>4331298</v>
      </c>
      <c r="L77" s="1">
        <v>49</v>
      </c>
      <c r="M77" s="1">
        <v>27187</v>
      </c>
      <c r="N77" s="1">
        <v>21749600</v>
      </c>
      <c r="O77" s="1">
        <v>4331298</v>
      </c>
      <c r="P77" s="1">
        <v>48</v>
      </c>
      <c r="Q77" s="1">
        <v>21027200</v>
      </c>
      <c r="R77" s="1">
        <v>4229891</v>
      </c>
      <c r="T77" s="3">
        <v>0.49408999999999997</v>
      </c>
      <c r="U77" s="1">
        <f t="shared" si="22"/>
        <v>11128290.252</v>
      </c>
      <c r="V77" s="1">
        <f t="shared" si="20"/>
        <v>2140051.0288199997</v>
      </c>
      <c r="W77" s="1">
        <f t="shared" si="23"/>
        <v>10746259.864</v>
      </c>
      <c r="X77" s="1">
        <f t="shared" si="21"/>
        <v>2140051.0288199997</v>
      </c>
      <c r="Y77" s="1">
        <f t="shared" si="24"/>
        <v>10389329.248</v>
      </c>
      <c r="Z77" s="1">
        <f t="shared" si="16"/>
        <v>2089946.8441899999</v>
      </c>
      <c r="AB77" s="1">
        <f t="shared" si="25"/>
        <v>9290820</v>
      </c>
      <c r="AC77" s="1">
        <f t="shared" si="26"/>
        <v>11128290.252</v>
      </c>
      <c r="AD77" s="1">
        <f t="shared" si="27"/>
        <v>10388674.841</v>
      </c>
      <c r="AE77" s="1">
        <f t="shared" si="17"/>
        <v>2089946.8441899999</v>
      </c>
      <c r="AF77" s="1">
        <f t="shared" si="18"/>
        <v>2165649</v>
      </c>
      <c r="AG77" s="1">
        <f t="shared" si="19"/>
        <v>2133924.4754574997</v>
      </c>
    </row>
    <row r="78" spans="1:33" x14ac:dyDescent="0.25">
      <c r="A78" s="4">
        <v>1752</v>
      </c>
      <c r="C78" s="1">
        <v>9346920</v>
      </c>
      <c r="D78" s="1">
        <v>2678240</v>
      </c>
      <c r="F78" s="1">
        <v>156609</v>
      </c>
      <c r="H78" s="1">
        <v>59</v>
      </c>
      <c r="I78" s="1">
        <v>28324</v>
      </c>
      <c r="J78" s="1">
        <v>22659200</v>
      </c>
      <c r="K78" s="1">
        <v>5356480</v>
      </c>
      <c r="L78" s="1">
        <v>59</v>
      </c>
      <c r="M78" s="1">
        <v>27433</v>
      </c>
      <c r="N78" s="1">
        <v>21946400</v>
      </c>
      <c r="O78" s="1">
        <v>5356480</v>
      </c>
      <c r="P78" s="1">
        <v>59</v>
      </c>
      <c r="Q78" s="1">
        <v>21952000</v>
      </c>
      <c r="R78" s="1">
        <v>5360480</v>
      </c>
      <c r="T78" s="3">
        <v>0.49408999999999997</v>
      </c>
      <c r="U78" s="1">
        <f t="shared" si="22"/>
        <v>11195684.127999999</v>
      </c>
      <c r="V78" s="1">
        <f t="shared" si="20"/>
        <v>2646583.2031999999</v>
      </c>
      <c r="W78" s="1">
        <f t="shared" si="23"/>
        <v>10843496.775999999</v>
      </c>
      <c r="X78" s="1">
        <f t="shared" si="21"/>
        <v>2646583.2031999999</v>
      </c>
      <c r="Y78" s="1">
        <f t="shared" si="24"/>
        <v>10846263.68</v>
      </c>
      <c r="Z78" s="1">
        <f t="shared" si="16"/>
        <v>2648559.5631999997</v>
      </c>
      <c r="AB78" s="1">
        <f t="shared" si="25"/>
        <v>9346920</v>
      </c>
      <c r="AC78" s="1">
        <f t="shared" si="26"/>
        <v>11195684.127999999</v>
      </c>
      <c r="AD78" s="1">
        <f t="shared" si="27"/>
        <v>10558091.146</v>
      </c>
      <c r="AE78" s="1">
        <f t="shared" si="17"/>
        <v>2646583.2031999999</v>
      </c>
      <c r="AF78" s="1">
        <f t="shared" si="18"/>
        <v>2678240</v>
      </c>
      <c r="AG78" s="1">
        <f t="shared" si="19"/>
        <v>2654991.4923999999</v>
      </c>
    </row>
    <row r="79" spans="1:33" x14ac:dyDescent="0.25">
      <c r="A79" s="4">
        <v>1753</v>
      </c>
      <c r="C79" s="1">
        <v>5042400</v>
      </c>
      <c r="D79" s="1">
        <v>1444325</v>
      </c>
      <c r="F79" s="1">
        <v>70160</v>
      </c>
      <c r="H79" s="1">
        <v>39</v>
      </c>
      <c r="I79" s="1">
        <v>15280</v>
      </c>
      <c r="J79" s="1">
        <v>12224000</v>
      </c>
      <c r="K79" s="1">
        <v>2888650</v>
      </c>
      <c r="L79" s="1">
        <v>39</v>
      </c>
      <c r="M79" s="1">
        <v>14784</v>
      </c>
      <c r="N79" s="1">
        <v>11827200</v>
      </c>
      <c r="O79" s="1">
        <v>2888650</v>
      </c>
      <c r="P79" s="1">
        <v>39</v>
      </c>
      <c r="Q79" s="1">
        <v>11440800</v>
      </c>
      <c r="R79" s="1">
        <v>2821931</v>
      </c>
      <c r="T79" s="3">
        <v>0.49408999999999997</v>
      </c>
      <c r="U79" s="1">
        <f t="shared" si="22"/>
        <v>6039756.1599999992</v>
      </c>
      <c r="V79" s="1">
        <f t="shared" si="20"/>
        <v>1427253.0784999998</v>
      </c>
      <c r="W79" s="1">
        <f t="shared" si="23"/>
        <v>5843701.2479999997</v>
      </c>
      <c r="X79" s="1">
        <f t="shared" si="21"/>
        <v>1427253.0784999998</v>
      </c>
      <c r="Y79" s="1">
        <f t="shared" si="24"/>
        <v>5652784.8719999995</v>
      </c>
      <c r="Z79" s="1">
        <f t="shared" si="16"/>
        <v>1394287.8877899998</v>
      </c>
      <c r="AB79" s="1">
        <f t="shared" si="25"/>
        <v>5042400</v>
      </c>
      <c r="AC79" s="1">
        <f t="shared" si="26"/>
        <v>6039756.1599999992</v>
      </c>
      <c r="AD79" s="1">
        <f t="shared" si="27"/>
        <v>5644660.5700000003</v>
      </c>
      <c r="AE79" s="1">
        <f t="shared" si="17"/>
        <v>1394287.8877899998</v>
      </c>
      <c r="AF79" s="1">
        <f t="shared" si="18"/>
        <v>1444325</v>
      </c>
      <c r="AG79" s="1">
        <f t="shared" si="19"/>
        <v>1423279.7611974999</v>
      </c>
    </row>
    <row r="80" spans="1:33" x14ac:dyDescent="0.25">
      <c r="A80" s="4">
        <v>1754</v>
      </c>
      <c r="C80" s="1">
        <v>6363720</v>
      </c>
      <c r="D80" s="1">
        <v>3175373</v>
      </c>
      <c r="F80" s="1">
        <v>72696</v>
      </c>
      <c r="H80" s="1">
        <v>56</v>
      </c>
      <c r="I80" s="1">
        <v>19284</v>
      </c>
      <c r="J80" s="1">
        <v>15427200</v>
      </c>
      <c r="K80" s="1">
        <v>6350745</v>
      </c>
      <c r="L80" s="1">
        <v>56</v>
      </c>
      <c r="M80" s="1">
        <v>18487</v>
      </c>
      <c r="N80" s="1">
        <v>14789600</v>
      </c>
      <c r="O80" s="1">
        <v>6350745</v>
      </c>
      <c r="P80" s="1">
        <v>56</v>
      </c>
      <c r="Q80" s="1">
        <v>14750400</v>
      </c>
      <c r="R80" s="1">
        <v>2786910</v>
      </c>
      <c r="T80" s="3">
        <v>0.49408999999999997</v>
      </c>
      <c r="U80" s="1">
        <f t="shared" si="22"/>
        <v>7622425.2479999997</v>
      </c>
      <c r="V80" s="1">
        <f t="shared" si="20"/>
        <v>3137839.59705</v>
      </c>
      <c r="W80" s="1">
        <f t="shared" si="23"/>
        <v>7307393.4639999997</v>
      </c>
      <c r="X80" s="1">
        <f t="shared" si="21"/>
        <v>3137839.59705</v>
      </c>
      <c r="Y80" s="1">
        <f t="shared" si="24"/>
        <v>7288025.1359999999</v>
      </c>
      <c r="Z80" s="1">
        <f t="shared" si="16"/>
        <v>1376984.3618999999</v>
      </c>
      <c r="AB80" s="1">
        <f t="shared" si="25"/>
        <v>6363720</v>
      </c>
      <c r="AC80" s="1">
        <f t="shared" si="26"/>
        <v>7622425.2479999997</v>
      </c>
      <c r="AD80" s="1">
        <f t="shared" si="27"/>
        <v>7145390.9619999994</v>
      </c>
      <c r="AE80" s="1">
        <f t="shared" si="17"/>
        <v>1376984.3618999999</v>
      </c>
      <c r="AF80" s="1">
        <f t="shared" si="18"/>
        <v>3175373</v>
      </c>
      <c r="AG80" s="1">
        <f t="shared" si="19"/>
        <v>2707009.139</v>
      </c>
    </row>
    <row r="81" spans="1:33" x14ac:dyDescent="0.25">
      <c r="A81" s="4">
        <v>1755</v>
      </c>
      <c r="C81" s="1">
        <v>5417940</v>
      </c>
      <c r="D81" s="1">
        <v>1436286</v>
      </c>
      <c r="F81" s="1">
        <v>42666</v>
      </c>
      <c r="H81" s="1">
        <v>38</v>
      </c>
      <c r="I81" s="1">
        <v>16418</v>
      </c>
      <c r="J81" s="1">
        <v>13134000</v>
      </c>
      <c r="K81" s="1">
        <v>2872572</v>
      </c>
      <c r="L81" s="1">
        <v>38</v>
      </c>
      <c r="M81" s="1">
        <v>15294</v>
      </c>
      <c r="N81" s="1">
        <v>12235200</v>
      </c>
      <c r="O81" s="1">
        <v>2879572</v>
      </c>
      <c r="P81" s="1">
        <v>38</v>
      </c>
      <c r="Q81" s="1">
        <v>12314400</v>
      </c>
      <c r="R81" s="1">
        <v>2786910</v>
      </c>
      <c r="T81" s="3">
        <v>0.49408999999999997</v>
      </c>
      <c r="U81" s="1">
        <f t="shared" si="22"/>
        <v>6489378.0599999996</v>
      </c>
      <c r="V81" s="1">
        <f t="shared" si="20"/>
        <v>1419309.0994799999</v>
      </c>
      <c r="W81" s="1">
        <f t="shared" si="23"/>
        <v>6045289.9679999994</v>
      </c>
      <c r="X81" s="1">
        <f t="shared" si="21"/>
        <v>1422767.72948</v>
      </c>
      <c r="Y81" s="1">
        <f t="shared" si="24"/>
        <v>6084421.8959999997</v>
      </c>
      <c r="Z81" s="1">
        <f t="shared" ref="Z81:Z112" si="28">R81*T81</f>
        <v>1376984.3618999999</v>
      </c>
      <c r="AB81" s="1">
        <f t="shared" si="25"/>
        <v>5417940</v>
      </c>
      <c r="AC81" s="1">
        <f t="shared" si="26"/>
        <v>6489378.0599999996</v>
      </c>
      <c r="AD81" s="1">
        <f t="shared" si="27"/>
        <v>6009257.4809999987</v>
      </c>
      <c r="AE81" s="1">
        <f t="shared" ref="AE81:AE112" si="29">MIN(Z81,X81,V81,D81)</f>
        <v>1376984.3618999999</v>
      </c>
      <c r="AF81" s="1">
        <f t="shared" ref="AF81:AF112" si="30">MAX(Z81,X81,V81,D81)</f>
        <v>1436286</v>
      </c>
      <c r="AG81" s="1">
        <f t="shared" ref="AG81:AG112" si="31">AVERAGE(Z81,X81,V81,D81)</f>
        <v>1413836.7977149999</v>
      </c>
    </row>
    <row r="82" spans="1:33" x14ac:dyDescent="0.25">
      <c r="A82" s="4">
        <v>1756</v>
      </c>
      <c r="C82" s="1">
        <v>7425330</v>
      </c>
      <c r="D82" s="1">
        <v>3381814</v>
      </c>
      <c r="F82" s="1">
        <v>81856</v>
      </c>
      <c r="H82" s="1">
        <v>52</v>
      </c>
      <c r="I82" s="1">
        <v>22501</v>
      </c>
      <c r="J82" s="1">
        <v>18000800</v>
      </c>
      <c r="K82" s="1">
        <v>6763627</v>
      </c>
      <c r="L82" s="1">
        <v>52</v>
      </c>
      <c r="M82" s="1">
        <v>21506</v>
      </c>
      <c r="N82" s="1">
        <v>17204800</v>
      </c>
      <c r="O82" s="1">
        <v>6763627</v>
      </c>
      <c r="P82" s="1">
        <v>51</v>
      </c>
      <c r="Q82" s="1">
        <v>16649600</v>
      </c>
      <c r="R82" s="1">
        <v>6407610</v>
      </c>
      <c r="T82" s="3">
        <v>0.49408999999999997</v>
      </c>
      <c r="U82" s="1">
        <f t="shared" si="22"/>
        <v>8894015.2719999999</v>
      </c>
      <c r="V82" s="1">
        <f t="shared" ref="V82:V113" si="32">K82*T82</f>
        <v>3341840.4644299997</v>
      </c>
      <c r="W82" s="1">
        <f t="shared" si="23"/>
        <v>8500719.6319999993</v>
      </c>
      <c r="X82" s="1">
        <f t="shared" ref="X82:X116" si="33">O82*T82</f>
        <v>3341840.4644299997</v>
      </c>
      <c r="Y82" s="1">
        <f t="shared" si="24"/>
        <v>8226400.8639999991</v>
      </c>
      <c r="Z82" s="1">
        <f t="shared" si="28"/>
        <v>3165936.0248999996</v>
      </c>
      <c r="AB82" s="1">
        <f t="shared" si="25"/>
        <v>7425330</v>
      </c>
      <c r="AC82" s="1">
        <f t="shared" si="26"/>
        <v>8894015.2719999999</v>
      </c>
      <c r="AD82" s="1">
        <f t="shared" si="27"/>
        <v>8261616.4419999998</v>
      </c>
      <c r="AE82" s="1">
        <f t="shared" si="29"/>
        <v>3165936.0248999996</v>
      </c>
      <c r="AF82" s="1">
        <f t="shared" si="30"/>
        <v>3381814</v>
      </c>
      <c r="AG82" s="1">
        <f t="shared" si="31"/>
        <v>3307857.7384399995</v>
      </c>
    </row>
    <row r="83" spans="1:33" x14ac:dyDescent="0.25">
      <c r="A83" s="4">
        <v>1757</v>
      </c>
      <c r="C83" s="1">
        <v>5995770</v>
      </c>
      <c r="D83" s="1">
        <v>4349243</v>
      </c>
      <c r="F83" s="1">
        <v>53702</v>
      </c>
      <c r="H83" s="1">
        <v>55</v>
      </c>
      <c r="I83" s="1">
        <v>18169</v>
      </c>
      <c r="J83" s="1">
        <v>14535200</v>
      </c>
      <c r="K83" s="1">
        <v>8696486</v>
      </c>
      <c r="L83" s="1">
        <v>55</v>
      </c>
      <c r="M83" s="1">
        <v>17411</v>
      </c>
      <c r="N83" s="1">
        <v>13928800</v>
      </c>
      <c r="O83" s="1">
        <v>8696486</v>
      </c>
      <c r="P83" s="1">
        <v>52</v>
      </c>
      <c r="Q83" s="1">
        <v>13917600</v>
      </c>
      <c r="R83" s="1">
        <v>8300745</v>
      </c>
      <c r="T83" s="3">
        <v>0.49408999999999997</v>
      </c>
      <c r="U83" s="1">
        <f t="shared" si="22"/>
        <v>7181696.9679999994</v>
      </c>
      <c r="V83" s="1">
        <f t="shared" si="32"/>
        <v>4296846.76774</v>
      </c>
      <c r="W83" s="1">
        <f t="shared" si="23"/>
        <v>6882080.7919999994</v>
      </c>
      <c r="X83" s="1">
        <f t="shared" si="33"/>
        <v>4296846.76774</v>
      </c>
      <c r="Y83" s="1">
        <f t="shared" si="24"/>
        <v>6876546.9839999992</v>
      </c>
      <c r="Z83" s="1">
        <f t="shared" si="28"/>
        <v>4101315.09705</v>
      </c>
      <c r="AB83" s="1">
        <f t="shared" si="25"/>
        <v>5995770</v>
      </c>
      <c r="AC83" s="1">
        <f t="shared" si="26"/>
        <v>7181696.9679999994</v>
      </c>
      <c r="AD83" s="1">
        <f t="shared" si="27"/>
        <v>6734023.6859999988</v>
      </c>
      <c r="AE83" s="1">
        <f t="shared" si="29"/>
        <v>4101315.09705</v>
      </c>
      <c r="AF83" s="1">
        <f t="shared" si="30"/>
        <v>4349243</v>
      </c>
      <c r="AG83" s="1">
        <f t="shared" si="31"/>
        <v>4261062.9081325</v>
      </c>
    </row>
    <row r="84" spans="1:33" x14ac:dyDescent="0.25">
      <c r="A84" s="4">
        <v>1758</v>
      </c>
      <c r="C84" s="1">
        <v>4949340</v>
      </c>
      <c r="D84" s="1">
        <v>3394643</v>
      </c>
      <c r="F84" s="1">
        <v>61921</v>
      </c>
      <c r="H84" s="1">
        <v>46</v>
      </c>
      <c r="I84" s="1">
        <v>14998</v>
      </c>
      <c r="J84" s="1">
        <v>11998400</v>
      </c>
      <c r="K84" s="1">
        <v>6789286</v>
      </c>
      <c r="L84" s="1">
        <v>46</v>
      </c>
      <c r="M84" s="1">
        <v>14301</v>
      </c>
      <c r="N84" s="1">
        <v>11440800</v>
      </c>
      <c r="O84" s="1">
        <v>6789286</v>
      </c>
      <c r="P84" s="1">
        <v>46</v>
      </c>
      <c r="Q84" s="1">
        <v>11968800</v>
      </c>
      <c r="R84" s="1">
        <v>7519710</v>
      </c>
      <c r="T84" s="3">
        <v>0.49408999999999997</v>
      </c>
      <c r="U84" s="1">
        <f t="shared" si="22"/>
        <v>5928289.4559999993</v>
      </c>
      <c r="V84" s="1">
        <f t="shared" si="32"/>
        <v>3354518.3197399997</v>
      </c>
      <c r="W84" s="1">
        <f t="shared" si="23"/>
        <v>5652784.8719999995</v>
      </c>
      <c r="X84" s="1">
        <f t="shared" si="33"/>
        <v>3354518.3197399997</v>
      </c>
      <c r="Y84" s="1">
        <f t="shared" si="24"/>
        <v>5913664.392</v>
      </c>
      <c r="Z84" s="1">
        <f t="shared" si="28"/>
        <v>3715413.5138999997</v>
      </c>
      <c r="AB84" s="1">
        <f t="shared" si="25"/>
        <v>4949340</v>
      </c>
      <c r="AC84" s="1">
        <f t="shared" si="26"/>
        <v>5928289.4559999993</v>
      </c>
      <c r="AD84" s="1">
        <f t="shared" si="27"/>
        <v>5611019.6799999997</v>
      </c>
      <c r="AE84" s="1">
        <f t="shared" si="29"/>
        <v>3354518.3197399997</v>
      </c>
      <c r="AF84" s="1">
        <f t="shared" si="30"/>
        <v>3715413.5138999997</v>
      </c>
      <c r="AG84" s="1">
        <f t="shared" si="31"/>
        <v>3454773.2883449998</v>
      </c>
    </row>
    <row r="85" spans="1:33" x14ac:dyDescent="0.25">
      <c r="A85" s="4">
        <v>1759</v>
      </c>
      <c r="C85" s="1">
        <v>6183210</v>
      </c>
      <c r="D85" s="1">
        <v>5429657</v>
      </c>
      <c r="F85" s="1">
        <v>51006</v>
      </c>
      <c r="H85" s="1">
        <v>53</v>
      </c>
      <c r="I85" s="1">
        <v>18737</v>
      </c>
      <c r="J85" s="1">
        <v>14989800</v>
      </c>
      <c r="K85" s="1">
        <v>10859313</v>
      </c>
      <c r="L85" s="1">
        <v>53</v>
      </c>
      <c r="M85" s="1">
        <v>17877</v>
      </c>
      <c r="N85" s="1">
        <v>14301600</v>
      </c>
      <c r="O85" s="1">
        <v>10853985</v>
      </c>
      <c r="P85" s="1">
        <v>54</v>
      </c>
      <c r="Q85" s="1">
        <v>14077600</v>
      </c>
      <c r="R85" s="1">
        <v>11682797</v>
      </c>
      <c r="T85" s="3">
        <v>0.49408999999999997</v>
      </c>
      <c r="U85" s="1">
        <f t="shared" si="22"/>
        <v>7406310.2819999997</v>
      </c>
      <c r="V85" s="1">
        <f t="shared" si="32"/>
        <v>5365477.9601699999</v>
      </c>
      <c r="W85" s="1">
        <f t="shared" si="23"/>
        <v>7066277.5439999998</v>
      </c>
      <c r="X85" s="1">
        <f t="shared" si="33"/>
        <v>5362845.4486499997</v>
      </c>
      <c r="Y85" s="1">
        <f t="shared" si="24"/>
        <v>6955601.3839999996</v>
      </c>
      <c r="Z85" s="1">
        <f t="shared" si="28"/>
        <v>5772353.1697299993</v>
      </c>
      <c r="AB85" s="1">
        <f t="shared" si="25"/>
        <v>6183210</v>
      </c>
      <c r="AC85" s="1">
        <f t="shared" si="26"/>
        <v>7406310.2819999997</v>
      </c>
      <c r="AD85" s="1">
        <f t="shared" si="27"/>
        <v>6902849.8024999993</v>
      </c>
      <c r="AE85" s="1">
        <f t="shared" si="29"/>
        <v>5362845.4486499997</v>
      </c>
      <c r="AF85" s="1">
        <f t="shared" si="30"/>
        <v>5772353.1697299993</v>
      </c>
      <c r="AG85" s="1">
        <f t="shared" si="31"/>
        <v>5482583.3946374999</v>
      </c>
    </row>
    <row r="86" spans="1:33" x14ac:dyDescent="0.25">
      <c r="A86" s="4">
        <v>1760</v>
      </c>
      <c r="C86" s="1">
        <v>6934620</v>
      </c>
      <c r="D86" s="1">
        <v>5103244</v>
      </c>
      <c r="E86" s="1">
        <v>646</v>
      </c>
      <c r="F86" s="1">
        <v>64214</v>
      </c>
      <c r="H86" s="1">
        <v>50</v>
      </c>
      <c r="I86" s="1">
        <v>21014</v>
      </c>
      <c r="J86" s="1">
        <v>17651760</v>
      </c>
      <c r="K86" s="1">
        <v>10206487</v>
      </c>
      <c r="L86" s="1">
        <v>50</v>
      </c>
      <c r="M86" s="1">
        <v>20148</v>
      </c>
      <c r="N86" s="1">
        <v>16924320</v>
      </c>
      <c r="O86" s="1">
        <v>10203897</v>
      </c>
      <c r="P86" s="1">
        <v>52</v>
      </c>
      <c r="Q86" s="1">
        <v>16176000</v>
      </c>
      <c r="R86" s="1">
        <v>9987805</v>
      </c>
      <c r="T86" s="3">
        <v>0.49408999999999997</v>
      </c>
      <c r="U86" s="1">
        <f t="shared" si="22"/>
        <v>8721558.0983999986</v>
      </c>
      <c r="V86" s="1">
        <f t="shared" si="32"/>
        <v>5042923.1618299996</v>
      </c>
      <c r="W86" s="1">
        <f t="shared" si="23"/>
        <v>8362137.2687999997</v>
      </c>
      <c r="X86" s="1">
        <f t="shared" si="33"/>
        <v>5041643.4687299998</v>
      </c>
      <c r="Y86" s="1">
        <f t="shared" si="24"/>
        <v>7992399.8399999999</v>
      </c>
      <c r="Z86" s="1">
        <f t="shared" si="28"/>
        <v>4934874.5724499999</v>
      </c>
      <c r="AB86" s="1">
        <f t="shared" si="25"/>
        <v>6934620</v>
      </c>
      <c r="AC86" s="1">
        <f t="shared" si="26"/>
        <v>8721558.0983999986</v>
      </c>
      <c r="AD86" s="1">
        <f t="shared" si="27"/>
        <v>8002678.8017999995</v>
      </c>
      <c r="AE86" s="1">
        <f t="shared" si="29"/>
        <v>4934874.5724499999</v>
      </c>
      <c r="AF86" s="1">
        <f t="shared" si="30"/>
        <v>5103244</v>
      </c>
      <c r="AG86" s="1">
        <f t="shared" si="31"/>
        <v>5030671.3007525001</v>
      </c>
    </row>
    <row r="87" spans="1:33" x14ac:dyDescent="0.25">
      <c r="A87" s="4">
        <v>1761</v>
      </c>
      <c r="C87" s="1">
        <v>7317420</v>
      </c>
      <c r="D87" s="1">
        <v>5449875</v>
      </c>
      <c r="E87" s="1">
        <v>567</v>
      </c>
      <c r="F87" s="1">
        <v>71362</v>
      </c>
      <c r="H87" s="1">
        <v>55</v>
      </c>
      <c r="I87" s="1">
        <v>22174</v>
      </c>
      <c r="J87" s="1">
        <v>18625740</v>
      </c>
      <c r="K87" s="1">
        <v>10899749</v>
      </c>
      <c r="L87" s="1">
        <v>55</v>
      </c>
      <c r="M87" s="1">
        <v>21423</v>
      </c>
      <c r="N87" s="1">
        <v>17995320</v>
      </c>
      <c r="O87" s="1">
        <v>10897659</v>
      </c>
      <c r="P87" s="1">
        <v>55</v>
      </c>
      <c r="Q87" s="1">
        <v>17139200</v>
      </c>
      <c r="R87" s="1">
        <v>10645728</v>
      </c>
      <c r="T87" s="3">
        <v>0.49408999999999997</v>
      </c>
      <c r="U87" s="1">
        <f t="shared" si="22"/>
        <v>9202791.8765999991</v>
      </c>
      <c r="V87" s="1">
        <f t="shared" si="32"/>
        <v>5385456.9834099999</v>
      </c>
      <c r="W87" s="1">
        <f t="shared" si="23"/>
        <v>8891307.6588000003</v>
      </c>
      <c r="X87" s="1">
        <f t="shared" si="33"/>
        <v>5384424.33531</v>
      </c>
      <c r="Y87" s="1">
        <f t="shared" si="24"/>
        <v>8468307.3279999997</v>
      </c>
      <c r="Z87" s="1">
        <f t="shared" si="28"/>
        <v>5259947.7475199997</v>
      </c>
      <c r="AB87" s="1">
        <f t="shared" si="25"/>
        <v>7317420</v>
      </c>
      <c r="AC87" s="1">
        <f t="shared" si="26"/>
        <v>9202791.8765999991</v>
      </c>
      <c r="AD87" s="1">
        <f t="shared" si="27"/>
        <v>8469956.7158499993</v>
      </c>
      <c r="AE87" s="1">
        <f t="shared" si="29"/>
        <v>5259947.7475199997</v>
      </c>
      <c r="AF87" s="1">
        <f t="shared" si="30"/>
        <v>5449875</v>
      </c>
      <c r="AG87" s="1">
        <f t="shared" si="31"/>
        <v>5369926.0165600004</v>
      </c>
    </row>
    <row r="88" spans="1:33" x14ac:dyDescent="0.25">
      <c r="A88" s="4">
        <v>1762</v>
      </c>
      <c r="C88" s="1">
        <v>7247130</v>
      </c>
      <c r="D88" s="1">
        <v>6119801</v>
      </c>
      <c r="E88" s="1">
        <v>3058</v>
      </c>
      <c r="F88" s="1">
        <v>56614</v>
      </c>
      <c r="H88" s="1">
        <v>62</v>
      </c>
      <c r="I88" s="1">
        <v>21961</v>
      </c>
      <c r="J88" s="1">
        <v>18447240</v>
      </c>
      <c r="K88" s="1">
        <v>12239001</v>
      </c>
      <c r="L88" s="1">
        <v>62</v>
      </c>
      <c r="M88" s="1">
        <v>21247</v>
      </c>
      <c r="N88" s="1">
        <v>17847480</v>
      </c>
      <c r="O88" s="1">
        <v>12235858</v>
      </c>
      <c r="P88" s="1">
        <v>62</v>
      </c>
      <c r="Q88" s="1">
        <v>16973600</v>
      </c>
      <c r="R88" s="1">
        <v>12487781</v>
      </c>
      <c r="T88" s="3">
        <v>0.49408999999999997</v>
      </c>
      <c r="U88" s="1">
        <f t="shared" si="22"/>
        <v>9114596.8115999997</v>
      </c>
      <c r="V88" s="1">
        <f t="shared" si="32"/>
        <v>6047168.0040899999</v>
      </c>
      <c r="W88" s="1">
        <f t="shared" si="23"/>
        <v>8818261.3931999989</v>
      </c>
      <c r="X88" s="1">
        <f t="shared" si="33"/>
        <v>6045615.0792199997</v>
      </c>
      <c r="Y88" s="1">
        <f t="shared" si="24"/>
        <v>8386486.0239999993</v>
      </c>
      <c r="Z88" s="1">
        <f t="shared" si="28"/>
        <v>6170087.7142899996</v>
      </c>
      <c r="AB88" s="1">
        <f t="shared" si="25"/>
        <v>7247130</v>
      </c>
      <c r="AC88" s="1">
        <f t="shared" si="26"/>
        <v>9114596.8115999997</v>
      </c>
      <c r="AD88" s="1">
        <f t="shared" si="27"/>
        <v>8391618.5571999997</v>
      </c>
      <c r="AE88" s="1">
        <f t="shared" si="29"/>
        <v>6045615.0792199997</v>
      </c>
      <c r="AF88" s="1">
        <f t="shared" si="30"/>
        <v>6170087.7142899996</v>
      </c>
      <c r="AG88" s="1">
        <f t="shared" si="31"/>
        <v>6095667.9494000003</v>
      </c>
    </row>
    <row r="89" spans="1:33" x14ac:dyDescent="0.25">
      <c r="A89" s="4">
        <v>1763</v>
      </c>
      <c r="C89" s="1">
        <v>7217100</v>
      </c>
      <c r="D89" s="1">
        <v>6856141</v>
      </c>
      <c r="E89" s="1">
        <v>4351</v>
      </c>
      <c r="F89" s="1">
        <v>59554</v>
      </c>
      <c r="H89" s="1">
        <v>72</v>
      </c>
      <c r="I89" s="1">
        <v>21870</v>
      </c>
      <c r="J89" s="1">
        <v>18370380</v>
      </c>
      <c r="K89" s="1">
        <v>13712281</v>
      </c>
      <c r="L89" s="1">
        <v>72</v>
      </c>
      <c r="M89" s="1">
        <v>20969</v>
      </c>
      <c r="N89" s="1">
        <v>17613960</v>
      </c>
      <c r="O89" s="1">
        <v>13706856</v>
      </c>
      <c r="P89" s="1">
        <v>70</v>
      </c>
      <c r="Q89" s="1">
        <v>16658000</v>
      </c>
      <c r="R89" s="1">
        <v>13467406</v>
      </c>
      <c r="T89" s="3">
        <v>0.49408999999999997</v>
      </c>
      <c r="U89" s="1">
        <f t="shared" si="22"/>
        <v>9076621.0541999992</v>
      </c>
      <c r="V89" s="1">
        <f t="shared" si="32"/>
        <v>6775100.9192899996</v>
      </c>
      <c r="W89" s="1">
        <f t="shared" si="23"/>
        <v>8702881.4963999987</v>
      </c>
      <c r="X89" s="1">
        <f t="shared" si="33"/>
        <v>6772420.48104</v>
      </c>
      <c r="Y89" s="1">
        <f t="shared" si="24"/>
        <v>8230551.2199999997</v>
      </c>
      <c r="Z89" s="1">
        <f t="shared" si="28"/>
        <v>6654110.6305399993</v>
      </c>
      <c r="AB89" s="1">
        <f t="shared" si="25"/>
        <v>7217100</v>
      </c>
      <c r="AC89" s="1">
        <f t="shared" si="26"/>
        <v>9076621.0541999992</v>
      </c>
      <c r="AD89" s="1">
        <f t="shared" si="27"/>
        <v>8306788.4426499996</v>
      </c>
      <c r="AE89" s="1">
        <f t="shared" si="29"/>
        <v>6654110.6305399993</v>
      </c>
      <c r="AF89" s="1">
        <f t="shared" si="30"/>
        <v>6856141</v>
      </c>
      <c r="AG89" s="1">
        <f t="shared" si="31"/>
        <v>6764443.2577174995</v>
      </c>
    </row>
    <row r="90" spans="1:33" x14ac:dyDescent="0.25">
      <c r="A90" s="4">
        <v>1764</v>
      </c>
      <c r="C90" s="1">
        <v>6807900</v>
      </c>
      <c r="D90" s="1">
        <v>4727195</v>
      </c>
      <c r="E90" s="1">
        <v>17171</v>
      </c>
      <c r="F90" s="1">
        <v>65525</v>
      </c>
      <c r="H90" s="1">
        <v>46</v>
      </c>
      <c r="I90" s="1">
        <v>20030</v>
      </c>
      <c r="J90" s="1">
        <v>16825200</v>
      </c>
      <c r="K90" s="1">
        <v>9454390</v>
      </c>
      <c r="L90" s="1">
        <v>65</v>
      </c>
      <c r="M90" s="1">
        <v>23601</v>
      </c>
      <c r="N90" s="1">
        <v>19824840</v>
      </c>
      <c r="O90" s="1">
        <v>10805915</v>
      </c>
      <c r="P90" s="1">
        <v>65</v>
      </c>
      <c r="Q90" s="1">
        <v>18880800</v>
      </c>
      <c r="R90" s="1">
        <v>10806407</v>
      </c>
      <c r="T90" s="3">
        <v>0.49408999999999997</v>
      </c>
      <c r="U90" s="1">
        <f t="shared" si="22"/>
        <v>8313163.068</v>
      </c>
      <c r="V90" s="1">
        <f t="shared" si="32"/>
        <v>4671319.5550999995</v>
      </c>
      <c r="W90" s="1">
        <f t="shared" si="23"/>
        <v>9795255.1955999993</v>
      </c>
      <c r="X90" s="1">
        <f t="shared" si="33"/>
        <v>5339094.5423499998</v>
      </c>
      <c r="Y90" s="1">
        <f t="shared" si="24"/>
        <v>9328814.4719999991</v>
      </c>
      <c r="Z90" s="1">
        <f t="shared" si="28"/>
        <v>5339337.6346299993</v>
      </c>
      <c r="AB90" s="1">
        <f t="shared" si="25"/>
        <v>6807900</v>
      </c>
      <c r="AC90" s="1">
        <f t="shared" si="26"/>
        <v>9795255.1955999993</v>
      </c>
      <c r="AD90" s="1">
        <f t="shared" si="27"/>
        <v>8561283.1838999987</v>
      </c>
      <c r="AE90" s="1">
        <f t="shared" si="29"/>
        <v>4671319.5550999995</v>
      </c>
      <c r="AF90" s="1">
        <f t="shared" si="30"/>
        <v>5339337.6346299993</v>
      </c>
      <c r="AG90" s="1">
        <f t="shared" si="31"/>
        <v>5019236.6830199994</v>
      </c>
    </row>
    <row r="91" spans="1:33" x14ac:dyDescent="0.25">
      <c r="A91" s="4">
        <v>1765</v>
      </c>
      <c r="C91" s="1">
        <v>6639930</v>
      </c>
      <c r="D91" s="1">
        <v>6904500</v>
      </c>
      <c r="E91" s="1">
        <v>25390</v>
      </c>
      <c r="F91" s="1">
        <v>80265</v>
      </c>
      <c r="H91" s="1">
        <v>64</v>
      </c>
      <c r="I91" s="1">
        <v>20121</v>
      </c>
      <c r="J91" s="1">
        <v>16901640</v>
      </c>
      <c r="K91" s="1">
        <v>13809000</v>
      </c>
      <c r="L91" s="1">
        <v>76</v>
      </c>
      <c r="M91" s="1">
        <v>21047</v>
      </c>
      <c r="N91" s="1">
        <v>17679480</v>
      </c>
      <c r="O91" s="1">
        <v>13385028</v>
      </c>
      <c r="P91" s="1">
        <v>74</v>
      </c>
      <c r="Q91" s="1">
        <v>16837600</v>
      </c>
      <c r="R91" s="1">
        <v>13541547</v>
      </c>
      <c r="T91" s="3">
        <v>0.49408999999999997</v>
      </c>
      <c r="U91" s="1">
        <f t="shared" ref="U91:U113" si="34">J91*T91</f>
        <v>8350931.3075999999</v>
      </c>
      <c r="V91" s="1">
        <f t="shared" si="32"/>
        <v>6822888.8099999996</v>
      </c>
      <c r="W91" s="1">
        <f t="shared" ref="W91:W116" si="35">N91*T91</f>
        <v>8735254.2731999997</v>
      </c>
      <c r="X91" s="1">
        <f t="shared" si="33"/>
        <v>6613408.4845199995</v>
      </c>
      <c r="Y91" s="1">
        <f t="shared" ref="Y91:Y120" si="36">Q91*T91</f>
        <v>8319289.784</v>
      </c>
      <c r="Z91" s="1">
        <f t="shared" si="28"/>
        <v>6690742.9572299998</v>
      </c>
      <c r="AB91" s="1">
        <f t="shared" si="25"/>
        <v>6639930</v>
      </c>
      <c r="AC91" s="1">
        <f t="shared" si="26"/>
        <v>8735254.2731999997</v>
      </c>
      <c r="AD91" s="1">
        <f t="shared" si="27"/>
        <v>8011351.3411999997</v>
      </c>
      <c r="AE91" s="1">
        <f t="shared" si="29"/>
        <v>6613408.4845199995</v>
      </c>
      <c r="AF91" s="1">
        <f t="shared" si="30"/>
        <v>6904500</v>
      </c>
      <c r="AG91" s="1">
        <f t="shared" si="31"/>
        <v>6757885.0629375</v>
      </c>
    </row>
    <row r="92" spans="1:33" x14ac:dyDescent="0.25">
      <c r="A92" s="4">
        <v>1766</v>
      </c>
      <c r="C92" s="1">
        <v>7141860</v>
      </c>
      <c r="D92" s="1">
        <v>6194199</v>
      </c>
      <c r="E92" s="1">
        <v>69257</v>
      </c>
      <c r="F92" s="1">
        <v>123424</v>
      </c>
      <c r="H92" s="1">
        <v>69</v>
      </c>
      <c r="I92" s="1">
        <v>19820</v>
      </c>
      <c r="J92" s="1">
        <v>16648800</v>
      </c>
      <c r="K92" s="1">
        <v>14200200</v>
      </c>
      <c r="L92" s="1">
        <v>80</v>
      </c>
      <c r="M92" s="1">
        <v>21042</v>
      </c>
      <c r="N92" s="1">
        <v>17675280</v>
      </c>
      <c r="O92" s="1">
        <v>12388397</v>
      </c>
      <c r="P92" s="1">
        <v>76</v>
      </c>
      <c r="Q92" s="1">
        <v>16188000</v>
      </c>
      <c r="R92" s="1">
        <v>11703013</v>
      </c>
      <c r="T92" s="3">
        <v>0.49408999999999997</v>
      </c>
      <c r="U92" s="1">
        <f t="shared" si="34"/>
        <v>8226005.5919999992</v>
      </c>
      <c r="V92" s="1">
        <f t="shared" si="32"/>
        <v>7016176.818</v>
      </c>
      <c r="W92" s="1">
        <f t="shared" si="35"/>
        <v>8733179.0952000003</v>
      </c>
      <c r="X92" s="1">
        <f t="shared" si="33"/>
        <v>6120983.0737299994</v>
      </c>
      <c r="Y92" s="1">
        <f t="shared" si="36"/>
        <v>7998328.9199999999</v>
      </c>
      <c r="Z92" s="1">
        <f t="shared" si="28"/>
        <v>5782341.6931699999</v>
      </c>
      <c r="AB92" s="1">
        <f t="shared" si="25"/>
        <v>7141860</v>
      </c>
      <c r="AC92" s="1">
        <f t="shared" si="26"/>
        <v>8733179.0952000003</v>
      </c>
      <c r="AD92" s="1">
        <f t="shared" si="27"/>
        <v>8024843.401800001</v>
      </c>
      <c r="AE92" s="1">
        <f t="shared" si="29"/>
        <v>5782341.6931699999</v>
      </c>
      <c r="AF92" s="1">
        <f t="shared" si="30"/>
        <v>7016176.818</v>
      </c>
      <c r="AG92" s="1">
        <f t="shared" si="31"/>
        <v>6278425.1462249998</v>
      </c>
    </row>
    <row r="93" spans="1:33" x14ac:dyDescent="0.25">
      <c r="A93" s="4">
        <v>1767</v>
      </c>
      <c r="C93" s="1">
        <v>7006230</v>
      </c>
      <c r="D93" s="1">
        <v>6832301</v>
      </c>
      <c r="E93" s="1">
        <v>107971</v>
      </c>
      <c r="F93" s="1">
        <v>124769</v>
      </c>
      <c r="H93" s="1">
        <v>68</v>
      </c>
      <c r="I93" s="1">
        <v>21019</v>
      </c>
      <c r="J93" s="1">
        <v>17655960</v>
      </c>
      <c r="K93" s="1">
        <v>13780400</v>
      </c>
      <c r="L93" s="1">
        <v>77</v>
      </c>
      <c r="M93" s="1">
        <v>21231</v>
      </c>
      <c r="N93" s="1">
        <v>17834040</v>
      </c>
      <c r="O93" s="1">
        <v>13664601</v>
      </c>
      <c r="P93" s="1">
        <v>80</v>
      </c>
      <c r="Q93" s="1">
        <v>17204000</v>
      </c>
      <c r="R93" s="1">
        <v>14200361</v>
      </c>
      <c r="T93" s="3">
        <v>0.49408999999999997</v>
      </c>
      <c r="U93" s="1">
        <f t="shared" si="34"/>
        <v>8723633.2763999999</v>
      </c>
      <c r="V93" s="1">
        <f t="shared" si="32"/>
        <v>6808757.8359999992</v>
      </c>
      <c r="W93" s="1">
        <f t="shared" si="35"/>
        <v>8811620.8235999998</v>
      </c>
      <c r="X93" s="1">
        <f t="shared" si="33"/>
        <v>6751542.7080899999</v>
      </c>
      <c r="Y93" s="1">
        <f t="shared" si="36"/>
        <v>8500324.3599999994</v>
      </c>
      <c r="Z93" s="1">
        <f t="shared" si="28"/>
        <v>7016256.3664899999</v>
      </c>
      <c r="AB93" s="1">
        <f t="shared" si="25"/>
        <v>7006230</v>
      </c>
      <c r="AC93" s="1">
        <f t="shared" si="26"/>
        <v>8811620.8235999998</v>
      </c>
      <c r="AD93" s="1">
        <f t="shared" si="27"/>
        <v>8260452.1150000002</v>
      </c>
      <c r="AE93" s="1">
        <f t="shared" si="29"/>
        <v>6751542.7080899999</v>
      </c>
      <c r="AF93" s="1">
        <f t="shared" si="30"/>
        <v>7016256.3664899999</v>
      </c>
      <c r="AG93" s="1">
        <f t="shared" si="31"/>
        <v>6852214.4776449995</v>
      </c>
    </row>
    <row r="94" spans="1:33" x14ac:dyDescent="0.25">
      <c r="A94" s="4">
        <v>1768</v>
      </c>
      <c r="C94" s="1">
        <v>7185420</v>
      </c>
      <c r="D94" s="1">
        <v>6174590</v>
      </c>
      <c r="E94" s="1">
        <v>124633</v>
      </c>
      <c r="F94" s="1">
        <v>216245</v>
      </c>
      <c r="H94" s="1">
        <v>54</v>
      </c>
      <c r="I94" s="1">
        <v>21763</v>
      </c>
      <c r="J94" s="1">
        <v>18280920</v>
      </c>
      <c r="K94" s="1">
        <v>10906000</v>
      </c>
      <c r="L94" s="1">
        <v>72</v>
      </c>
      <c r="M94" s="1">
        <v>21774</v>
      </c>
      <c r="N94" s="1">
        <v>18290160</v>
      </c>
      <c r="O94" s="1">
        <v>12349180</v>
      </c>
      <c r="P94" s="1">
        <v>70</v>
      </c>
      <c r="Q94" s="1">
        <v>17419200</v>
      </c>
      <c r="R94" s="1">
        <v>11878220</v>
      </c>
      <c r="T94" s="3">
        <v>0.49408999999999997</v>
      </c>
      <c r="U94" s="1">
        <f t="shared" si="34"/>
        <v>9032419.7627999987</v>
      </c>
      <c r="V94" s="1">
        <f t="shared" si="32"/>
        <v>5388545.54</v>
      </c>
      <c r="W94" s="1">
        <f t="shared" si="35"/>
        <v>9036985.1544000003</v>
      </c>
      <c r="X94" s="1">
        <f t="shared" si="33"/>
        <v>6101606.3461999996</v>
      </c>
      <c r="Y94" s="1">
        <f t="shared" si="36"/>
        <v>8606652.527999999</v>
      </c>
      <c r="Z94" s="1">
        <f t="shared" si="28"/>
        <v>5868909.7198000001</v>
      </c>
      <c r="AB94" s="1">
        <f t="shared" si="25"/>
        <v>7185420</v>
      </c>
      <c r="AC94" s="1">
        <f t="shared" si="26"/>
        <v>9036985.1544000003</v>
      </c>
      <c r="AD94" s="1">
        <f t="shared" si="27"/>
        <v>8465369.3612999991</v>
      </c>
      <c r="AE94" s="1">
        <f t="shared" si="29"/>
        <v>5388545.54</v>
      </c>
      <c r="AF94" s="1">
        <f t="shared" si="30"/>
        <v>6174590</v>
      </c>
      <c r="AG94" s="1">
        <f t="shared" si="31"/>
        <v>5883412.9014999997</v>
      </c>
    </row>
    <row r="95" spans="1:33" x14ac:dyDescent="0.25">
      <c r="A95" s="4">
        <v>1769</v>
      </c>
      <c r="C95" s="1">
        <v>7395630</v>
      </c>
      <c r="D95" s="1">
        <v>7003537</v>
      </c>
      <c r="E95" s="1">
        <v>115791</v>
      </c>
      <c r="F95" s="1">
        <v>163125</v>
      </c>
      <c r="H95" s="1">
        <v>65</v>
      </c>
      <c r="I95" s="1">
        <v>20915</v>
      </c>
      <c r="J95" s="1">
        <v>17568600</v>
      </c>
      <c r="K95" s="1">
        <v>14786045</v>
      </c>
      <c r="L95" s="1">
        <v>86</v>
      </c>
      <c r="M95" s="1">
        <v>22441</v>
      </c>
      <c r="N95" s="1">
        <v>18825240</v>
      </c>
      <c r="O95" s="1">
        <v>14007073</v>
      </c>
      <c r="P95" s="1">
        <v>87</v>
      </c>
      <c r="Q95" s="1">
        <v>18218400</v>
      </c>
      <c r="R95" s="1">
        <v>14371297</v>
      </c>
      <c r="T95" s="3">
        <v>0.49408999999999997</v>
      </c>
      <c r="U95" s="1">
        <f t="shared" si="34"/>
        <v>8680469.5739999991</v>
      </c>
      <c r="V95" s="1">
        <f t="shared" si="32"/>
        <v>7305636.9740499994</v>
      </c>
      <c r="W95" s="1">
        <f t="shared" si="35"/>
        <v>9301362.8315999992</v>
      </c>
      <c r="X95" s="1">
        <f t="shared" si="33"/>
        <v>6920754.69857</v>
      </c>
      <c r="Y95" s="1">
        <f t="shared" si="36"/>
        <v>9001529.2559999991</v>
      </c>
      <c r="Z95" s="1">
        <f t="shared" si="28"/>
        <v>7100714.13473</v>
      </c>
      <c r="AB95" s="1">
        <f t="shared" si="25"/>
        <v>7395630</v>
      </c>
      <c r="AC95" s="1">
        <f t="shared" si="26"/>
        <v>9301362.8315999992</v>
      </c>
      <c r="AD95" s="1">
        <f t="shared" si="27"/>
        <v>8594747.9153999984</v>
      </c>
      <c r="AE95" s="1">
        <f t="shared" si="29"/>
        <v>6920754.69857</v>
      </c>
      <c r="AF95" s="1">
        <f t="shared" si="30"/>
        <v>7305636.9740499994</v>
      </c>
      <c r="AG95" s="1">
        <f t="shared" si="31"/>
        <v>7082660.7018374996</v>
      </c>
    </row>
    <row r="96" spans="1:33" x14ac:dyDescent="0.25">
      <c r="A96" s="4">
        <v>1770</v>
      </c>
      <c r="C96" s="1">
        <v>6171480</v>
      </c>
      <c r="D96" s="1">
        <v>3484200</v>
      </c>
      <c r="E96" s="1">
        <v>85785</v>
      </c>
      <c r="F96" s="1">
        <v>103454</v>
      </c>
      <c r="H96" s="1">
        <v>52</v>
      </c>
      <c r="I96" s="1">
        <v>14730</v>
      </c>
      <c r="J96" s="1">
        <v>12962400</v>
      </c>
      <c r="K96" s="1">
        <v>9860750</v>
      </c>
      <c r="L96" s="1">
        <v>65</v>
      </c>
      <c r="M96" s="1">
        <v>17143</v>
      </c>
      <c r="N96" s="1">
        <v>15085840</v>
      </c>
      <c r="O96" s="1">
        <v>6968399</v>
      </c>
      <c r="P96" s="1">
        <v>64</v>
      </c>
      <c r="Q96" s="1">
        <v>14948696</v>
      </c>
      <c r="R96" s="1">
        <v>6968552</v>
      </c>
      <c r="T96" s="3">
        <v>0.49408999999999997</v>
      </c>
      <c r="U96" s="1">
        <f t="shared" si="34"/>
        <v>6404592.216</v>
      </c>
      <c r="V96" s="1">
        <f t="shared" si="32"/>
        <v>4872097.9674999993</v>
      </c>
      <c r="W96" s="1">
        <f t="shared" si="35"/>
        <v>7453762.6855999995</v>
      </c>
      <c r="X96" s="1">
        <f t="shared" si="33"/>
        <v>3443016.2619099999</v>
      </c>
      <c r="Y96" s="1">
        <f t="shared" si="36"/>
        <v>7386001.2066399995</v>
      </c>
      <c r="Z96" s="1">
        <f t="shared" si="28"/>
        <v>3443091.8576799999</v>
      </c>
      <c r="AB96" s="1">
        <f t="shared" si="25"/>
        <v>6171480</v>
      </c>
      <c r="AC96" s="1">
        <f t="shared" si="26"/>
        <v>7453762.6855999995</v>
      </c>
      <c r="AD96" s="1">
        <f t="shared" si="27"/>
        <v>6853959.0270600002</v>
      </c>
      <c r="AE96" s="1">
        <f t="shared" si="29"/>
        <v>3443016.2619099999</v>
      </c>
      <c r="AF96" s="1">
        <f t="shared" si="30"/>
        <v>4872097.9674999993</v>
      </c>
      <c r="AG96" s="1">
        <f t="shared" si="31"/>
        <v>3810601.5217724997</v>
      </c>
    </row>
    <row r="97" spans="1:33" x14ac:dyDescent="0.25">
      <c r="A97" s="4">
        <v>1771</v>
      </c>
      <c r="C97" s="1">
        <v>8017560</v>
      </c>
      <c r="D97" s="1">
        <v>7160287</v>
      </c>
      <c r="E97" s="1">
        <v>108310</v>
      </c>
      <c r="F97" s="1">
        <v>256398</v>
      </c>
      <c r="H97" s="1">
        <v>65</v>
      </c>
      <c r="I97" s="1">
        <v>20314</v>
      </c>
      <c r="J97" s="1">
        <v>17876320</v>
      </c>
      <c r="K97" s="1">
        <v>11971000</v>
      </c>
      <c r="L97" s="1">
        <v>93</v>
      </c>
      <c r="M97" s="1">
        <v>22271</v>
      </c>
      <c r="N97" s="1">
        <v>19598480</v>
      </c>
      <c r="O97" s="1">
        <v>14320574</v>
      </c>
      <c r="P97" s="1">
        <v>92</v>
      </c>
      <c r="Q97" s="1">
        <v>19420312</v>
      </c>
      <c r="R97" s="1">
        <v>14321641</v>
      </c>
      <c r="T97" s="3">
        <v>0.49408999999999997</v>
      </c>
      <c r="U97" s="1">
        <f t="shared" si="34"/>
        <v>8832510.9487999994</v>
      </c>
      <c r="V97" s="1">
        <f t="shared" si="32"/>
        <v>5914751.3899999997</v>
      </c>
      <c r="W97" s="1">
        <f t="shared" si="35"/>
        <v>9683412.9831999987</v>
      </c>
      <c r="X97" s="1">
        <f t="shared" si="33"/>
        <v>7075652.40766</v>
      </c>
      <c r="Y97" s="1">
        <f t="shared" si="36"/>
        <v>9595381.956079999</v>
      </c>
      <c r="Z97" s="1">
        <f t="shared" si="28"/>
        <v>7076179.6016899999</v>
      </c>
      <c r="AB97" s="1">
        <f t="shared" si="25"/>
        <v>8017560</v>
      </c>
      <c r="AC97" s="1">
        <f t="shared" si="26"/>
        <v>9683412.9831999987</v>
      </c>
      <c r="AD97" s="1">
        <f t="shared" si="27"/>
        <v>9032216.4720199984</v>
      </c>
      <c r="AE97" s="1">
        <f t="shared" si="29"/>
        <v>5914751.3899999997</v>
      </c>
      <c r="AF97" s="1">
        <f t="shared" si="30"/>
        <v>7160287</v>
      </c>
      <c r="AG97" s="1">
        <f t="shared" si="31"/>
        <v>6806717.5998374997</v>
      </c>
    </row>
    <row r="98" spans="1:33" x14ac:dyDescent="0.25">
      <c r="A98" s="4">
        <v>1772</v>
      </c>
      <c r="C98" s="1">
        <v>7477200</v>
      </c>
      <c r="D98" s="1">
        <v>6945599</v>
      </c>
      <c r="E98" s="1">
        <v>58938</v>
      </c>
      <c r="F98" s="1">
        <v>192158</v>
      </c>
      <c r="H98" s="1">
        <v>53</v>
      </c>
      <c r="I98" s="1">
        <v>19780</v>
      </c>
      <c r="J98" s="1">
        <v>17406400</v>
      </c>
      <c r="K98" s="1">
        <v>12680125</v>
      </c>
      <c r="L98" s="1">
        <v>73</v>
      </c>
      <c r="M98" s="1">
        <v>20770</v>
      </c>
      <c r="N98" s="1">
        <v>18277600</v>
      </c>
      <c r="O98" s="1">
        <v>13891197</v>
      </c>
      <c r="P98" s="1">
        <v>71</v>
      </c>
      <c r="Q98" s="1">
        <v>18111440</v>
      </c>
      <c r="R98" s="1">
        <v>13892095</v>
      </c>
      <c r="T98" s="3">
        <v>0.49408999999999997</v>
      </c>
      <c r="U98" s="1">
        <f t="shared" si="34"/>
        <v>8600328.175999999</v>
      </c>
      <c r="V98" s="1">
        <f t="shared" si="32"/>
        <v>6265122.9612499997</v>
      </c>
      <c r="W98" s="1">
        <f t="shared" si="35"/>
        <v>9030779.3839999996</v>
      </c>
      <c r="X98" s="1">
        <f t="shared" si="33"/>
        <v>6863501.5257299999</v>
      </c>
      <c r="Y98" s="1">
        <f t="shared" si="36"/>
        <v>8948681.3895999994</v>
      </c>
      <c r="Z98" s="1">
        <f t="shared" si="28"/>
        <v>6863945.2185499994</v>
      </c>
      <c r="AB98" s="1">
        <f t="shared" si="25"/>
        <v>7477200</v>
      </c>
      <c r="AC98" s="1">
        <f t="shared" si="26"/>
        <v>9030779.3839999996</v>
      </c>
      <c r="AD98" s="1">
        <f t="shared" si="27"/>
        <v>8514247.2373999991</v>
      </c>
      <c r="AE98" s="1">
        <f t="shared" si="29"/>
        <v>6265122.9612499997</v>
      </c>
      <c r="AF98" s="1">
        <f t="shared" si="30"/>
        <v>6945599</v>
      </c>
      <c r="AG98" s="1">
        <f t="shared" si="31"/>
        <v>6734542.1763824997</v>
      </c>
    </row>
    <row r="99" spans="1:33" x14ac:dyDescent="0.25">
      <c r="A99" s="4">
        <v>1773</v>
      </c>
      <c r="C99" s="1">
        <v>6633360</v>
      </c>
      <c r="D99" s="1">
        <v>7349872</v>
      </c>
      <c r="E99" s="1">
        <v>68298</v>
      </c>
      <c r="F99" s="1">
        <v>194457</v>
      </c>
      <c r="H99" s="1">
        <v>57</v>
      </c>
      <c r="I99" s="1">
        <v>16981</v>
      </c>
      <c r="J99" s="1">
        <v>14943280</v>
      </c>
      <c r="K99" s="1">
        <v>16315138</v>
      </c>
      <c r="L99" s="1">
        <v>73</v>
      </c>
      <c r="M99" s="1">
        <v>18426</v>
      </c>
      <c r="N99" s="1">
        <v>16214880</v>
      </c>
      <c r="O99" s="1">
        <v>14699743</v>
      </c>
      <c r="P99" s="1">
        <v>68</v>
      </c>
      <c r="Q99" s="1">
        <v>15538168</v>
      </c>
      <c r="R99" s="1">
        <v>14464059</v>
      </c>
      <c r="T99" s="3">
        <v>0.49408999999999997</v>
      </c>
      <c r="U99" s="1">
        <f t="shared" si="34"/>
        <v>7383325.2151999995</v>
      </c>
      <c r="V99" s="1">
        <f t="shared" si="32"/>
        <v>8061146.5344199995</v>
      </c>
      <c r="W99" s="1">
        <f t="shared" si="35"/>
        <v>8011610.0592</v>
      </c>
      <c r="X99" s="1">
        <f t="shared" si="33"/>
        <v>7262996.0188699998</v>
      </c>
      <c r="Y99" s="1">
        <f t="shared" si="36"/>
        <v>7677253.4271199992</v>
      </c>
      <c r="Z99" s="1">
        <f t="shared" si="28"/>
        <v>7146546.9113099994</v>
      </c>
      <c r="AB99" s="1">
        <f t="shared" si="25"/>
        <v>6633360</v>
      </c>
      <c r="AC99" s="1">
        <f t="shared" si="26"/>
        <v>8011610.0592</v>
      </c>
      <c r="AD99" s="1">
        <f t="shared" si="27"/>
        <v>7426387.1753799999</v>
      </c>
      <c r="AE99" s="1">
        <f t="shared" si="29"/>
        <v>7146546.9113099994</v>
      </c>
      <c r="AF99" s="1">
        <f t="shared" si="30"/>
        <v>8061146.5344199995</v>
      </c>
      <c r="AG99" s="1">
        <f t="shared" si="31"/>
        <v>7455140.3661499992</v>
      </c>
    </row>
    <row r="100" spans="1:33" x14ac:dyDescent="0.25">
      <c r="A100" s="4">
        <v>1774</v>
      </c>
      <c r="C100" s="1">
        <v>5802480</v>
      </c>
      <c r="D100" s="1">
        <v>6715893</v>
      </c>
      <c r="E100" s="1">
        <v>61037</v>
      </c>
      <c r="F100" s="1">
        <v>287704</v>
      </c>
      <c r="H100" s="1">
        <v>46</v>
      </c>
      <c r="I100" s="1">
        <v>13313</v>
      </c>
      <c r="J100" s="1">
        <v>11715440</v>
      </c>
      <c r="K100" s="1">
        <v>12016117</v>
      </c>
      <c r="L100" s="1">
        <v>58</v>
      </c>
      <c r="M100" s="1">
        <v>16118</v>
      </c>
      <c r="N100" s="1">
        <v>14183840</v>
      </c>
      <c r="O100" s="1">
        <v>13431785</v>
      </c>
      <c r="P100" s="1">
        <v>51</v>
      </c>
      <c r="Q100" s="1">
        <v>14054896</v>
      </c>
      <c r="R100" s="1">
        <v>13491300</v>
      </c>
      <c r="T100" s="3">
        <v>0.49408999999999997</v>
      </c>
      <c r="U100" s="1">
        <f t="shared" si="34"/>
        <v>5788481.7495999997</v>
      </c>
      <c r="V100" s="1">
        <f t="shared" si="32"/>
        <v>5937043.2485299995</v>
      </c>
      <c r="W100" s="1">
        <f t="shared" si="35"/>
        <v>7008093.5055999998</v>
      </c>
      <c r="X100" s="1">
        <f t="shared" si="33"/>
        <v>6636510.6506499993</v>
      </c>
      <c r="Y100" s="1">
        <f t="shared" si="36"/>
        <v>6944383.5646399995</v>
      </c>
      <c r="Z100" s="1">
        <f t="shared" si="28"/>
        <v>6665916.4169999994</v>
      </c>
      <c r="AB100" s="1">
        <f t="shared" si="25"/>
        <v>5788481.7495999997</v>
      </c>
      <c r="AC100" s="1">
        <f t="shared" si="26"/>
        <v>7008093.5055999998</v>
      </c>
      <c r="AD100" s="1">
        <f t="shared" si="27"/>
        <v>6385859.7049599998</v>
      </c>
      <c r="AE100" s="1">
        <f t="shared" si="29"/>
        <v>5937043.2485299995</v>
      </c>
      <c r="AF100" s="1">
        <f t="shared" si="30"/>
        <v>6715893</v>
      </c>
      <c r="AG100" s="1">
        <f t="shared" si="31"/>
        <v>6488840.8290449996</v>
      </c>
    </row>
    <row r="101" spans="1:33" x14ac:dyDescent="0.25">
      <c r="A101" s="4">
        <v>1775</v>
      </c>
      <c r="C101" s="1">
        <v>7708320</v>
      </c>
      <c r="D101" s="1">
        <v>10115970</v>
      </c>
      <c r="E101" s="1">
        <v>77860</v>
      </c>
      <c r="F101" s="1">
        <v>389211</v>
      </c>
      <c r="I101" s="1">
        <v>20255</v>
      </c>
      <c r="J101" s="1">
        <v>17824400</v>
      </c>
      <c r="K101" s="1">
        <v>13300000</v>
      </c>
      <c r="L101" s="1">
        <v>72</v>
      </c>
      <c r="M101" s="1">
        <v>21412</v>
      </c>
      <c r="N101" s="1">
        <v>18842560</v>
      </c>
      <c r="O101" s="1">
        <v>20231941</v>
      </c>
      <c r="P101" s="1">
        <v>71</v>
      </c>
      <c r="Q101" s="1">
        <v>18632024</v>
      </c>
      <c r="R101" s="1">
        <v>20331934</v>
      </c>
      <c r="T101" s="3">
        <v>0.49408999999999997</v>
      </c>
      <c r="U101" s="1">
        <f t="shared" si="34"/>
        <v>8806857.7960000001</v>
      </c>
      <c r="V101" s="1">
        <f t="shared" si="32"/>
        <v>6571397</v>
      </c>
      <c r="W101" s="1">
        <f t="shared" si="35"/>
        <v>9309920.4704</v>
      </c>
      <c r="X101" s="1">
        <f t="shared" si="33"/>
        <v>9996399.7286900003</v>
      </c>
      <c r="Y101" s="1">
        <f t="shared" si="36"/>
        <v>9205896.7381599993</v>
      </c>
      <c r="Z101" s="1">
        <f t="shared" si="28"/>
        <v>10045805.270059999</v>
      </c>
      <c r="AB101" s="1">
        <f t="shared" si="25"/>
        <v>7708320</v>
      </c>
      <c r="AC101" s="1">
        <f t="shared" si="26"/>
        <v>9309920.4704</v>
      </c>
      <c r="AD101" s="1">
        <f t="shared" si="27"/>
        <v>8757748.7511400003</v>
      </c>
      <c r="AE101" s="1">
        <f t="shared" si="29"/>
        <v>6571397</v>
      </c>
      <c r="AF101" s="1">
        <f t="shared" si="30"/>
        <v>10115970</v>
      </c>
      <c r="AG101" s="1">
        <f t="shared" si="31"/>
        <v>9182392.9996875003</v>
      </c>
    </row>
    <row r="102" spans="1:33" x14ac:dyDescent="0.25">
      <c r="A102" s="4">
        <v>1776</v>
      </c>
      <c r="C102" s="1">
        <v>6318720</v>
      </c>
      <c r="D102" s="1">
        <v>6950010</v>
      </c>
      <c r="E102" s="1">
        <v>117755</v>
      </c>
      <c r="F102" s="1">
        <v>274673</v>
      </c>
      <c r="I102" s="1">
        <v>17350</v>
      </c>
      <c r="J102" s="1">
        <v>15268000</v>
      </c>
      <c r="K102" s="1">
        <v>11750000</v>
      </c>
      <c r="L102" s="1">
        <v>56</v>
      </c>
      <c r="M102" s="1">
        <v>17552</v>
      </c>
      <c r="N102" s="1">
        <v>15445760</v>
      </c>
      <c r="O102" s="1">
        <v>13900020</v>
      </c>
      <c r="P102" s="1">
        <v>52</v>
      </c>
      <c r="Q102" s="1">
        <v>15280928</v>
      </c>
      <c r="R102" s="1">
        <v>14075520</v>
      </c>
      <c r="T102" s="3">
        <v>0.49408999999999997</v>
      </c>
      <c r="U102" s="1">
        <f t="shared" si="34"/>
        <v>7543766.1199999992</v>
      </c>
      <c r="V102" s="1">
        <f t="shared" si="32"/>
        <v>5805557.5</v>
      </c>
      <c r="W102" s="1">
        <f t="shared" si="35"/>
        <v>7631595.5583999995</v>
      </c>
      <c r="X102" s="1">
        <f t="shared" si="33"/>
        <v>6867860.8817999996</v>
      </c>
      <c r="Y102" s="1">
        <f t="shared" si="36"/>
        <v>7550153.7155199992</v>
      </c>
      <c r="Z102" s="1">
        <f t="shared" si="28"/>
        <v>6954573.6767999995</v>
      </c>
      <c r="AB102" s="1">
        <f t="shared" si="25"/>
        <v>6318720</v>
      </c>
      <c r="AC102" s="1">
        <f t="shared" si="26"/>
        <v>7631595.5583999995</v>
      </c>
      <c r="AD102" s="1">
        <f t="shared" si="27"/>
        <v>7261058.8484799992</v>
      </c>
      <c r="AE102" s="1">
        <f t="shared" si="29"/>
        <v>5805557.5</v>
      </c>
      <c r="AF102" s="1">
        <f t="shared" si="30"/>
        <v>6954573.6767999995</v>
      </c>
      <c r="AG102" s="1">
        <f t="shared" si="31"/>
        <v>6644500.5146500003</v>
      </c>
    </row>
    <row r="103" spans="1:33" x14ac:dyDescent="0.25">
      <c r="A103" s="4">
        <v>1777</v>
      </c>
      <c r="C103" s="1">
        <v>6367320</v>
      </c>
      <c r="D103" s="1">
        <v>10107281</v>
      </c>
      <c r="E103" s="1">
        <v>86916</v>
      </c>
      <c r="F103" s="1">
        <v>314531</v>
      </c>
      <c r="I103" s="1">
        <v>16300</v>
      </c>
      <c r="J103" s="1">
        <v>14344000</v>
      </c>
      <c r="K103" s="1">
        <v>12950500</v>
      </c>
      <c r="L103" s="1">
        <v>67</v>
      </c>
      <c r="M103" s="1">
        <v>17687</v>
      </c>
      <c r="N103" s="1">
        <v>15564560</v>
      </c>
      <c r="O103" s="1">
        <v>20214562</v>
      </c>
      <c r="P103" s="1">
        <v>65</v>
      </c>
      <c r="Q103" s="1">
        <v>15264360</v>
      </c>
      <c r="R103" s="1">
        <v>20298122</v>
      </c>
      <c r="T103" s="3">
        <v>0.49408999999999997</v>
      </c>
      <c r="U103" s="1">
        <f t="shared" si="34"/>
        <v>7087226.96</v>
      </c>
      <c r="V103" s="1">
        <f t="shared" si="32"/>
        <v>6398712.5449999999</v>
      </c>
      <c r="W103" s="1">
        <f t="shared" si="35"/>
        <v>7690293.4503999995</v>
      </c>
      <c r="X103" s="1">
        <f t="shared" si="33"/>
        <v>9987812.9385799989</v>
      </c>
      <c r="Y103" s="1">
        <f t="shared" si="36"/>
        <v>7541967.6323999995</v>
      </c>
      <c r="Z103" s="1">
        <f t="shared" si="28"/>
        <v>10029099.09898</v>
      </c>
      <c r="AB103" s="1">
        <f t="shared" si="25"/>
        <v>6367320</v>
      </c>
      <c r="AC103" s="1">
        <f t="shared" si="26"/>
        <v>7690293.4503999995</v>
      </c>
      <c r="AD103" s="1">
        <f t="shared" si="27"/>
        <v>7171702.0106999995</v>
      </c>
      <c r="AE103" s="1">
        <f t="shared" si="29"/>
        <v>6398712.5449999999</v>
      </c>
      <c r="AF103" s="1">
        <f t="shared" si="30"/>
        <v>10107281</v>
      </c>
      <c r="AG103" s="1">
        <f t="shared" si="31"/>
        <v>9130726.3956400007</v>
      </c>
    </row>
    <row r="104" spans="1:33" x14ac:dyDescent="0.25">
      <c r="A104" s="4">
        <v>1778</v>
      </c>
      <c r="C104" s="1">
        <v>7628040</v>
      </c>
      <c r="D104" s="1">
        <v>8236881</v>
      </c>
      <c r="E104" s="1">
        <v>176105</v>
      </c>
      <c r="F104" s="1">
        <v>389066</v>
      </c>
      <c r="I104" s="1">
        <v>15975</v>
      </c>
      <c r="J104" s="1">
        <v>14058000</v>
      </c>
      <c r="K104" s="1">
        <v>11150300</v>
      </c>
      <c r="L104" s="1">
        <v>59</v>
      </c>
      <c r="M104" s="1">
        <v>21189</v>
      </c>
      <c r="N104" s="1">
        <v>18646320</v>
      </c>
      <c r="O104" s="1">
        <v>16473762</v>
      </c>
      <c r="P104" s="1">
        <v>57</v>
      </c>
      <c r="Q104" s="1">
        <v>18476808</v>
      </c>
      <c r="R104" s="1">
        <v>16473760</v>
      </c>
      <c r="T104" s="3">
        <v>0.49408999999999997</v>
      </c>
      <c r="U104" s="1">
        <f t="shared" si="34"/>
        <v>6945917.2199999997</v>
      </c>
      <c r="V104" s="1">
        <f t="shared" si="32"/>
        <v>5509251.727</v>
      </c>
      <c r="W104" s="1">
        <f t="shared" si="35"/>
        <v>9212960.2488000002</v>
      </c>
      <c r="X104" s="1">
        <f t="shared" si="33"/>
        <v>8139521.0665799994</v>
      </c>
      <c r="Y104" s="1">
        <f t="shared" si="36"/>
        <v>9129206.0647199992</v>
      </c>
      <c r="Z104" s="1">
        <f t="shared" si="28"/>
        <v>8139520.0784</v>
      </c>
      <c r="AB104" s="1">
        <f t="shared" si="25"/>
        <v>6945917.2199999997</v>
      </c>
      <c r="AC104" s="1">
        <f t="shared" si="26"/>
        <v>9212960.2488000002</v>
      </c>
      <c r="AD104" s="1">
        <f t="shared" si="27"/>
        <v>8229030.8833799995</v>
      </c>
      <c r="AE104" s="1">
        <f t="shared" si="29"/>
        <v>5509251.727</v>
      </c>
      <c r="AF104" s="1">
        <f t="shared" si="30"/>
        <v>8236881</v>
      </c>
      <c r="AG104" s="1">
        <f t="shared" si="31"/>
        <v>7506293.4679949991</v>
      </c>
    </row>
    <row r="105" spans="1:33" x14ac:dyDescent="0.25">
      <c r="A105" s="4">
        <v>1779</v>
      </c>
      <c r="C105" s="1">
        <v>6696720</v>
      </c>
      <c r="D105" s="1">
        <v>5732909</v>
      </c>
      <c r="E105" s="1">
        <v>213975</v>
      </c>
      <c r="F105" s="1">
        <v>390289</v>
      </c>
      <c r="I105" s="1">
        <v>14795</v>
      </c>
      <c r="J105" s="1">
        <v>13019600</v>
      </c>
      <c r="K105" s="1">
        <v>13100800</v>
      </c>
      <c r="L105" s="1">
        <v>61</v>
      </c>
      <c r="M105" s="1">
        <v>18602</v>
      </c>
      <c r="N105" s="1">
        <v>16369760</v>
      </c>
      <c r="O105" s="1">
        <v>11465817</v>
      </c>
      <c r="P105" s="1">
        <v>57</v>
      </c>
      <c r="Q105" s="1">
        <v>16346512</v>
      </c>
      <c r="R105" s="1">
        <v>11565817</v>
      </c>
      <c r="T105" s="3">
        <v>0.49408999999999997</v>
      </c>
      <c r="U105" s="1">
        <f t="shared" si="34"/>
        <v>6432854.1639999999</v>
      </c>
      <c r="V105" s="1">
        <f t="shared" si="32"/>
        <v>6472974.2719999999</v>
      </c>
      <c r="W105" s="1">
        <f t="shared" si="35"/>
        <v>8088134.7183999997</v>
      </c>
      <c r="X105" s="1">
        <f t="shared" si="33"/>
        <v>5665145.5215299996</v>
      </c>
      <c r="Y105" s="1">
        <f t="shared" si="36"/>
        <v>8076648.1140799997</v>
      </c>
      <c r="Z105" s="1">
        <f t="shared" si="28"/>
        <v>5714554.5215299996</v>
      </c>
      <c r="AB105" s="1">
        <f t="shared" ref="AB105:AB120" si="37">MIN(Y105,W105,U105,C105)</f>
        <v>6432854.1639999999</v>
      </c>
      <c r="AC105" s="1">
        <f t="shared" ref="AC105:AC120" si="38">MAX(Y105,W105,U105,C105)</f>
        <v>8088134.7183999997</v>
      </c>
      <c r="AD105" s="1">
        <f t="shared" ref="AD105:AD120" si="39">AVERAGE(C105,U105,W105,Y105)</f>
        <v>7323589.2491199998</v>
      </c>
      <c r="AE105" s="1">
        <f t="shared" si="29"/>
        <v>5665145.5215299996</v>
      </c>
      <c r="AF105" s="1">
        <f t="shared" si="30"/>
        <v>6472974.2719999999</v>
      </c>
      <c r="AG105" s="1">
        <f t="shared" si="31"/>
        <v>5896395.8287649993</v>
      </c>
    </row>
    <row r="106" spans="1:33" x14ac:dyDescent="0.25">
      <c r="A106" s="4">
        <v>1780</v>
      </c>
      <c r="C106" s="1">
        <v>6161220</v>
      </c>
      <c r="D106" s="1">
        <v>5681539</v>
      </c>
      <c r="E106" s="1">
        <v>199594</v>
      </c>
      <c r="F106" s="1">
        <v>310135</v>
      </c>
      <c r="I106" s="1">
        <v>15700</v>
      </c>
      <c r="J106" s="1">
        <v>15072000</v>
      </c>
      <c r="K106" s="1">
        <v>11750000</v>
      </c>
      <c r="L106" s="1">
        <v>43</v>
      </c>
      <c r="M106" s="1">
        <v>15798</v>
      </c>
      <c r="N106" s="1">
        <v>15166080</v>
      </c>
      <c r="O106" s="1">
        <v>11363077</v>
      </c>
      <c r="P106" s="1">
        <v>42</v>
      </c>
      <c r="Q106" s="1">
        <v>14185488</v>
      </c>
      <c r="R106" s="1">
        <v>11363077</v>
      </c>
      <c r="T106" s="3">
        <v>0.49408999999999997</v>
      </c>
      <c r="U106" s="1">
        <f t="shared" si="34"/>
        <v>7446924.4799999995</v>
      </c>
      <c r="V106" s="1">
        <f t="shared" si="32"/>
        <v>5805557.5</v>
      </c>
      <c r="W106" s="1">
        <f t="shared" si="35"/>
        <v>7493408.4671999998</v>
      </c>
      <c r="X106" s="1">
        <f t="shared" si="33"/>
        <v>5614382.7149299998</v>
      </c>
      <c r="Y106" s="1">
        <f t="shared" si="36"/>
        <v>7008907.7659199992</v>
      </c>
      <c r="Z106" s="1">
        <f t="shared" si="28"/>
        <v>5614382.7149299998</v>
      </c>
      <c r="AB106" s="1">
        <f t="shared" si="37"/>
        <v>6161220</v>
      </c>
      <c r="AC106" s="1">
        <f t="shared" si="38"/>
        <v>7493408.4671999998</v>
      </c>
      <c r="AD106" s="1">
        <f t="shared" si="39"/>
        <v>7027615.1782799996</v>
      </c>
      <c r="AE106" s="1">
        <f t="shared" si="29"/>
        <v>5614382.7149299998</v>
      </c>
      <c r="AF106" s="1">
        <f t="shared" si="30"/>
        <v>5805557.5</v>
      </c>
      <c r="AG106" s="1">
        <f t="shared" si="31"/>
        <v>5678965.4824649999</v>
      </c>
    </row>
    <row r="107" spans="1:33" x14ac:dyDescent="0.25">
      <c r="A107" s="4">
        <v>1781</v>
      </c>
      <c r="C107" s="1">
        <v>1050270</v>
      </c>
      <c r="D107" s="1">
        <v>2017223</v>
      </c>
      <c r="E107" s="1">
        <v>30863</v>
      </c>
      <c r="F107" s="1">
        <v>92683</v>
      </c>
      <c r="I107" s="1">
        <v>16980</v>
      </c>
      <c r="J107" s="1">
        <v>16300800</v>
      </c>
      <c r="K107" s="1">
        <v>11971116</v>
      </c>
      <c r="L107" s="1">
        <v>10</v>
      </c>
      <c r="M107" s="1">
        <v>2693</v>
      </c>
      <c r="N107" s="1">
        <v>2585280</v>
      </c>
      <c r="O107" s="1">
        <v>4001836</v>
      </c>
      <c r="P107" s="1">
        <v>10</v>
      </c>
      <c r="Q107" s="1">
        <v>2056032</v>
      </c>
      <c r="R107" s="1">
        <v>3930077</v>
      </c>
      <c r="T107" s="3">
        <v>0.49408999999999997</v>
      </c>
      <c r="U107" s="1">
        <f t="shared" si="34"/>
        <v>8054062.2719999999</v>
      </c>
      <c r="V107" s="1">
        <f t="shared" si="32"/>
        <v>5914808.7044399995</v>
      </c>
      <c r="W107" s="1">
        <f t="shared" si="35"/>
        <v>1277360.9952</v>
      </c>
      <c r="X107" s="1">
        <f t="shared" si="33"/>
        <v>1977267.1492399999</v>
      </c>
      <c r="Y107" s="1">
        <f t="shared" si="36"/>
        <v>1015864.8508799999</v>
      </c>
      <c r="Z107" s="1">
        <f t="shared" si="28"/>
        <v>1941811.7449299998</v>
      </c>
      <c r="AB107" s="1">
        <f t="shared" si="37"/>
        <v>1015864.8508799999</v>
      </c>
      <c r="AC107" s="1">
        <f t="shared" si="38"/>
        <v>8054062.2719999999</v>
      </c>
      <c r="AD107" s="1">
        <f t="shared" si="39"/>
        <v>2849389.5295200003</v>
      </c>
      <c r="AE107" s="1">
        <f t="shared" si="29"/>
        <v>1941811.7449299998</v>
      </c>
      <c r="AF107" s="1">
        <f t="shared" si="30"/>
        <v>5914808.7044399995</v>
      </c>
      <c r="AG107" s="1">
        <f t="shared" si="31"/>
        <v>2962777.6496524997</v>
      </c>
    </row>
    <row r="108" spans="1:33" x14ac:dyDescent="0.25">
      <c r="A108" s="4">
        <v>1782</v>
      </c>
      <c r="C108" s="1">
        <v>5270460</v>
      </c>
      <c r="D108" s="1">
        <v>5527174</v>
      </c>
      <c r="E108" s="1">
        <v>237313</v>
      </c>
      <c r="F108" s="1">
        <v>419637</v>
      </c>
      <c r="I108" s="1">
        <v>17327</v>
      </c>
      <c r="J108" s="1">
        <v>16633920</v>
      </c>
      <c r="K108" s="1">
        <v>10812814</v>
      </c>
      <c r="L108" s="1">
        <v>30</v>
      </c>
      <c r="M108" s="1">
        <v>10178</v>
      </c>
      <c r="N108" s="1">
        <v>8770880</v>
      </c>
      <c r="O108" s="1">
        <v>7396781</v>
      </c>
      <c r="P108" s="1">
        <v>55</v>
      </c>
      <c r="Q108" s="1">
        <v>12185024</v>
      </c>
      <c r="R108" s="1">
        <v>9863509</v>
      </c>
      <c r="T108" s="3">
        <v>0.49408999999999997</v>
      </c>
      <c r="U108" s="1">
        <f t="shared" si="34"/>
        <v>8218653.5327999992</v>
      </c>
      <c r="V108" s="1">
        <f t="shared" si="32"/>
        <v>5342503.2692599995</v>
      </c>
      <c r="W108" s="1">
        <f t="shared" si="35"/>
        <v>4333604.0992000001</v>
      </c>
      <c r="X108" s="1">
        <f t="shared" si="33"/>
        <v>3654675.5242899996</v>
      </c>
      <c r="Y108" s="1">
        <f t="shared" si="36"/>
        <v>6020498.5081599997</v>
      </c>
      <c r="Z108" s="1">
        <f t="shared" si="28"/>
        <v>4873461.1618099995</v>
      </c>
      <c r="AB108" s="1">
        <f t="shared" si="37"/>
        <v>4333604.0992000001</v>
      </c>
      <c r="AC108" s="1">
        <f t="shared" si="38"/>
        <v>8218653.5327999992</v>
      </c>
      <c r="AD108" s="1">
        <f t="shared" si="39"/>
        <v>5960804.0350399995</v>
      </c>
      <c r="AE108" s="1">
        <f t="shared" si="29"/>
        <v>3654675.5242899996</v>
      </c>
      <c r="AF108" s="1">
        <f t="shared" si="30"/>
        <v>5527174</v>
      </c>
      <c r="AG108" s="1">
        <f t="shared" si="31"/>
        <v>4849453.4888399998</v>
      </c>
    </row>
    <row r="109" spans="1:33" x14ac:dyDescent="0.25">
      <c r="A109" s="4">
        <v>1783</v>
      </c>
      <c r="C109" s="1">
        <v>7425600</v>
      </c>
      <c r="D109" s="1">
        <v>5879285</v>
      </c>
      <c r="E109" s="1">
        <v>427746</v>
      </c>
      <c r="F109" s="1">
        <v>520813</v>
      </c>
      <c r="I109" s="1">
        <v>15673</v>
      </c>
      <c r="J109" s="1">
        <v>15046080</v>
      </c>
      <c r="K109" s="1">
        <v>12587535</v>
      </c>
      <c r="L109" s="1">
        <v>49</v>
      </c>
      <c r="M109" s="1">
        <v>17159</v>
      </c>
      <c r="N109" s="1">
        <v>16472640</v>
      </c>
      <c r="O109" s="1">
        <v>11214961</v>
      </c>
      <c r="P109" s="1">
        <v>58</v>
      </c>
      <c r="Q109" s="1">
        <v>21107456</v>
      </c>
      <c r="R109" s="1">
        <v>13022406</v>
      </c>
      <c r="T109" s="3">
        <v>0.49408999999999997</v>
      </c>
      <c r="U109" s="1">
        <f t="shared" si="34"/>
        <v>7434117.6672</v>
      </c>
      <c r="V109" s="1">
        <f t="shared" si="32"/>
        <v>6219375.1681499993</v>
      </c>
      <c r="W109" s="1">
        <f t="shared" si="35"/>
        <v>8138966.6975999996</v>
      </c>
      <c r="X109" s="1">
        <f t="shared" si="33"/>
        <v>5541200.0804899996</v>
      </c>
      <c r="Y109" s="1">
        <f t="shared" si="36"/>
        <v>10428982.935039999</v>
      </c>
      <c r="Z109" s="1">
        <f t="shared" si="28"/>
        <v>6434240.5805399995</v>
      </c>
      <c r="AB109" s="1">
        <f t="shared" si="37"/>
        <v>7425600</v>
      </c>
      <c r="AC109" s="1">
        <f t="shared" si="38"/>
        <v>10428982.935039999</v>
      </c>
      <c r="AD109" s="1">
        <f t="shared" si="39"/>
        <v>8356916.824959999</v>
      </c>
      <c r="AE109" s="1">
        <f t="shared" si="29"/>
        <v>5541200.0804899996</v>
      </c>
      <c r="AF109" s="1">
        <f t="shared" si="30"/>
        <v>6434240.5805399995</v>
      </c>
      <c r="AG109" s="1">
        <f t="shared" si="31"/>
        <v>6018525.2072949996</v>
      </c>
    </row>
    <row r="110" spans="1:33" x14ac:dyDescent="0.25">
      <c r="A110" s="4">
        <v>1784</v>
      </c>
      <c r="C110" s="1">
        <v>7650630</v>
      </c>
      <c r="D110" s="1">
        <v>7800004</v>
      </c>
      <c r="E110" s="1">
        <v>415728</v>
      </c>
      <c r="F110" s="1">
        <v>306005</v>
      </c>
      <c r="I110" s="1">
        <v>14324</v>
      </c>
      <c r="J110" s="1">
        <v>13751040</v>
      </c>
      <c r="K110" s="1">
        <v>12913465</v>
      </c>
      <c r="L110" s="1">
        <v>55</v>
      </c>
      <c r="M110" s="1">
        <v>19525</v>
      </c>
      <c r="N110" s="1">
        <v>18744000</v>
      </c>
      <c r="O110" s="1">
        <v>15495957</v>
      </c>
      <c r="P110" s="1">
        <v>57</v>
      </c>
      <c r="Q110" s="1">
        <v>18333856</v>
      </c>
      <c r="R110" s="1">
        <v>14806427</v>
      </c>
      <c r="T110" s="3">
        <v>0.49408999999999997</v>
      </c>
      <c r="U110" s="1">
        <f t="shared" si="34"/>
        <v>6794251.3536</v>
      </c>
      <c r="V110" s="1">
        <f t="shared" si="32"/>
        <v>6380413.9218499996</v>
      </c>
      <c r="W110" s="1">
        <f t="shared" si="35"/>
        <v>9261222.959999999</v>
      </c>
      <c r="X110" s="1">
        <f t="shared" si="33"/>
        <v>7656397.3941299999</v>
      </c>
      <c r="Y110" s="1">
        <f t="shared" si="36"/>
        <v>9058574.9110399988</v>
      </c>
      <c r="Z110" s="1">
        <f t="shared" si="28"/>
        <v>7315707.5164299998</v>
      </c>
      <c r="AB110" s="1">
        <f t="shared" si="37"/>
        <v>6794251.3536</v>
      </c>
      <c r="AC110" s="1">
        <f t="shared" si="38"/>
        <v>9261222.959999999</v>
      </c>
      <c r="AD110" s="1">
        <f t="shared" si="39"/>
        <v>8191169.8061599992</v>
      </c>
      <c r="AE110" s="1">
        <f t="shared" si="29"/>
        <v>6380413.9218499996</v>
      </c>
      <c r="AF110" s="1">
        <f t="shared" si="30"/>
        <v>7800004</v>
      </c>
      <c r="AG110" s="1">
        <f t="shared" si="31"/>
        <v>7288130.7081025001</v>
      </c>
    </row>
    <row r="111" spans="1:33" x14ac:dyDescent="0.25">
      <c r="A111" s="4">
        <v>1785</v>
      </c>
      <c r="C111" s="1">
        <v>7687680</v>
      </c>
      <c r="D111" s="1">
        <v>4893650</v>
      </c>
      <c r="E111" s="1">
        <v>465207</v>
      </c>
      <c r="F111" s="1">
        <v>335068</v>
      </c>
      <c r="I111" s="1">
        <v>16176</v>
      </c>
      <c r="J111" s="1">
        <v>15528960</v>
      </c>
      <c r="K111" s="1">
        <v>9787300</v>
      </c>
      <c r="L111" s="1">
        <v>48</v>
      </c>
      <c r="M111" s="1">
        <v>18897</v>
      </c>
      <c r="N111" s="1">
        <v>18141120</v>
      </c>
      <c r="O111" s="1">
        <v>6024970</v>
      </c>
      <c r="P111" s="1">
        <v>49</v>
      </c>
      <c r="Q111" s="1">
        <v>17644304</v>
      </c>
      <c r="R111" s="1">
        <v>6026989</v>
      </c>
      <c r="T111" s="3">
        <v>0.49408999999999997</v>
      </c>
      <c r="U111" s="1">
        <f t="shared" si="34"/>
        <v>7672703.8463999992</v>
      </c>
      <c r="V111" s="1">
        <f t="shared" si="32"/>
        <v>4835807.057</v>
      </c>
      <c r="W111" s="1">
        <f t="shared" si="35"/>
        <v>8963345.9807999991</v>
      </c>
      <c r="X111" s="1">
        <f t="shared" si="33"/>
        <v>2976877.4272999996</v>
      </c>
      <c r="Y111" s="1">
        <f t="shared" si="36"/>
        <v>8717874.1633599997</v>
      </c>
      <c r="Z111" s="1">
        <f t="shared" si="28"/>
        <v>2977874.9950099997</v>
      </c>
      <c r="AB111" s="1">
        <f t="shared" si="37"/>
        <v>7672703.8463999992</v>
      </c>
      <c r="AC111" s="1">
        <f t="shared" si="38"/>
        <v>8963345.9807999991</v>
      </c>
      <c r="AD111" s="1">
        <f t="shared" si="39"/>
        <v>8260400.9976399997</v>
      </c>
      <c r="AE111" s="1">
        <f t="shared" si="29"/>
        <v>2976877.4272999996</v>
      </c>
      <c r="AF111" s="1">
        <f t="shared" si="30"/>
        <v>4893650</v>
      </c>
      <c r="AG111" s="1">
        <f t="shared" si="31"/>
        <v>3921052.3698274996</v>
      </c>
    </row>
    <row r="112" spans="1:33" x14ac:dyDescent="0.25">
      <c r="A112" s="4">
        <v>1786</v>
      </c>
      <c r="C112" s="1">
        <v>5516550</v>
      </c>
      <c r="D112" s="1">
        <v>6488085</v>
      </c>
      <c r="E112" s="1">
        <v>568350</v>
      </c>
      <c r="F112" s="1">
        <v>328970</v>
      </c>
      <c r="I112" s="1">
        <v>16750</v>
      </c>
      <c r="J112" s="1">
        <v>16080000</v>
      </c>
      <c r="K112" s="1">
        <v>12976170</v>
      </c>
      <c r="L112" s="1">
        <v>57</v>
      </c>
      <c r="M112" s="1">
        <v>14993</v>
      </c>
      <c r="N112" s="1">
        <v>14393280</v>
      </c>
      <c r="O112" s="1">
        <v>12427636</v>
      </c>
      <c r="P112" s="1">
        <v>59</v>
      </c>
      <c r="Q112" s="1">
        <v>14716512</v>
      </c>
      <c r="R112" s="1">
        <v>12527630</v>
      </c>
      <c r="T112" s="3">
        <v>0.49408999999999997</v>
      </c>
      <c r="U112" s="1">
        <f t="shared" si="34"/>
        <v>7944967.1999999993</v>
      </c>
      <c r="V112" s="1">
        <f t="shared" si="32"/>
        <v>6411395.8352999995</v>
      </c>
      <c r="W112" s="1">
        <f t="shared" si="35"/>
        <v>7111575.7151999995</v>
      </c>
      <c r="X112" s="1">
        <f t="shared" si="33"/>
        <v>6140370.6712400001</v>
      </c>
      <c r="Y112" s="1">
        <f t="shared" si="36"/>
        <v>7271281.4140799996</v>
      </c>
      <c r="Z112" s="1">
        <f t="shared" si="28"/>
        <v>6189776.7067</v>
      </c>
      <c r="AB112" s="1">
        <f t="shared" si="37"/>
        <v>5516550</v>
      </c>
      <c r="AC112" s="1">
        <f t="shared" si="38"/>
        <v>7944967.1999999993</v>
      </c>
      <c r="AD112" s="1">
        <f t="shared" si="39"/>
        <v>6961093.5823199991</v>
      </c>
      <c r="AE112" s="1">
        <f t="shared" si="29"/>
        <v>6140370.6712400001</v>
      </c>
      <c r="AF112" s="1">
        <f t="shared" si="30"/>
        <v>6488085</v>
      </c>
      <c r="AG112" s="1">
        <f t="shared" si="31"/>
        <v>6307407.0533099994</v>
      </c>
    </row>
    <row r="113" spans="1:33" x14ac:dyDescent="0.25">
      <c r="A113" s="4">
        <v>1787</v>
      </c>
      <c r="C113" s="1">
        <v>6140160</v>
      </c>
      <c r="D113" s="1">
        <v>6064878</v>
      </c>
      <c r="E113" s="1">
        <v>462984</v>
      </c>
      <c r="F113" s="1">
        <v>401362</v>
      </c>
      <c r="I113" s="1">
        <v>15744</v>
      </c>
      <c r="J113" s="1">
        <v>15114240</v>
      </c>
      <c r="K113" s="1">
        <v>12129756</v>
      </c>
      <c r="L113" s="1">
        <v>49</v>
      </c>
      <c r="M113" s="1">
        <v>16506</v>
      </c>
      <c r="N113" s="1">
        <v>15845760</v>
      </c>
      <c r="O113" s="1">
        <v>9436663</v>
      </c>
      <c r="P113" s="1">
        <v>49</v>
      </c>
      <c r="Q113" s="1">
        <v>14176048</v>
      </c>
      <c r="R113" s="1">
        <v>9914100</v>
      </c>
      <c r="T113" s="3">
        <v>0.49408999999999997</v>
      </c>
      <c r="U113" s="1">
        <f t="shared" si="34"/>
        <v>7467794.8415999999</v>
      </c>
      <c r="V113" s="1">
        <f t="shared" si="32"/>
        <v>5993191.1420399994</v>
      </c>
      <c r="W113" s="1">
        <f t="shared" si="35"/>
        <v>7829231.5583999995</v>
      </c>
      <c r="X113" s="1">
        <f t="shared" si="33"/>
        <v>4662560.8216699995</v>
      </c>
      <c r="Y113" s="1">
        <f t="shared" si="36"/>
        <v>7004243.5563199995</v>
      </c>
      <c r="Z113" s="1">
        <f t="shared" ref="Z113:Z120" si="40">R113*T113</f>
        <v>4898457.6689999998</v>
      </c>
      <c r="AB113" s="1">
        <f t="shared" si="37"/>
        <v>6140160</v>
      </c>
      <c r="AC113" s="1">
        <f t="shared" si="38"/>
        <v>7829231.5583999995</v>
      </c>
      <c r="AD113" s="1">
        <f t="shared" si="39"/>
        <v>7110357.4890799997</v>
      </c>
      <c r="AE113" s="1">
        <f t="shared" ref="AE113:AE120" si="41">MIN(Z113,X113,V113,D113)</f>
        <v>4662560.8216699995</v>
      </c>
      <c r="AF113" s="1">
        <f t="shared" ref="AF113:AF120" si="42">MAX(Z113,X113,V113,D113)</f>
        <v>6064878</v>
      </c>
      <c r="AG113" s="1">
        <f t="shared" ref="AG113:AG120" si="43">AVERAGE(Z113,X113,V113,D113)</f>
        <v>5404771.9081774997</v>
      </c>
    </row>
    <row r="114" spans="1:33" x14ac:dyDescent="0.25">
      <c r="A114" s="4">
        <v>1788</v>
      </c>
      <c r="L114" s="1">
        <v>42</v>
      </c>
      <c r="M114" s="1">
        <v>13740</v>
      </c>
      <c r="N114" s="1">
        <v>13190400</v>
      </c>
      <c r="O114" s="1">
        <v>7037877</v>
      </c>
      <c r="P114" s="1">
        <v>46</v>
      </c>
      <c r="Q114" s="1">
        <v>12966784</v>
      </c>
      <c r="R114" s="1">
        <v>6837771</v>
      </c>
      <c r="T114" s="3">
        <v>0.49408999999999997</v>
      </c>
      <c r="W114" s="1">
        <f t="shared" si="35"/>
        <v>6517244.7359999996</v>
      </c>
      <c r="X114" s="1">
        <f t="shared" si="33"/>
        <v>3477344.6469299998</v>
      </c>
      <c r="Y114" s="1">
        <f t="shared" si="36"/>
        <v>6406758.3065599995</v>
      </c>
      <c r="Z114" s="1">
        <f t="shared" si="40"/>
        <v>3378474.2733899998</v>
      </c>
      <c r="AB114" s="1">
        <f t="shared" si="37"/>
        <v>6406758.3065599995</v>
      </c>
      <c r="AC114" s="1">
        <f t="shared" si="38"/>
        <v>6517244.7359999996</v>
      </c>
      <c r="AD114" s="1">
        <f t="shared" si="39"/>
        <v>6462001.52128</v>
      </c>
      <c r="AE114" s="1">
        <f t="shared" si="41"/>
        <v>3378474.2733899998</v>
      </c>
      <c r="AF114" s="1">
        <f t="shared" si="42"/>
        <v>3477344.6469299998</v>
      </c>
      <c r="AG114" s="1">
        <f t="shared" si="43"/>
        <v>3427909.4601599998</v>
      </c>
    </row>
    <row r="115" spans="1:33" x14ac:dyDescent="0.25">
      <c r="A115" s="4">
        <v>1789</v>
      </c>
      <c r="C115" s="1">
        <v>6089070</v>
      </c>
      <c r="D115" s="1">
        <v>5574653</v>
      </c>
      <c r="E115" s="1">
        <v>510453</v>
      </c>
      <c r="F115" s="1">
        <v>329483</v>
      </c>
      <c r="L115" s="1">
        <v>48</v>
      </c>
      <c r="M115" s="1">
        <v>15613</v>
      </c>
      <c r="N115" s="1">
        <v>14988480</v>
      </c>
      <c r="O115" s="1">
        <v>11149305</v>
      </c>
      <c r="P115" s="1">
        <v>49</v>
      </c>
      <c r="Q115" s="1">
        <v>14772656</v>
      </c>
      <c r="R115" s="1">
        <v>11199215</v>
      </c>
      <c r="T115" s="3">
        <v>0.49408999999999997</v>
      </c>
      <c r="W115" s="1">
        <f t="shared" si="35"/>
        <v>7405658.0831999993</v>
      </c>
      <c r="X115" s="1">
        <f t="shared" si="33"/>
        <v>5508760.10745</v>
      </c>
      <c r="Y115" s="1">
        <f t="shared" si="36"/>
        <v>7299021.6030399995</v>
      </c>
      <c r="Z115" s="1">
        <f t="shared" si="40"/>
        <v>5533420.1393499998</v>
      </c>
      <c r="AB115" s="1">
        <f t="shared" si="37"/>
        <v>6089070</v>
      </c>
      <c r="AC115" s="1">
        <f t="shared" si="38"/>
        <v>7405658.0831999993</v>
      </c>
      <c r="AD115" s="1">
        <f t="shared" si="39"/>
        <v>6931249.8954133326</v>
      </c>
      <c r="AE115" s="1">
        <f t="shared" si="41"/>
        <v>5508760.10745</v>
      </c>
      <c r="AF115" s="1">
        <f t="shared" si="42"/>
        <v>5574653</v>
      </c>
      <c r="AG115" s="1">
        <f t="shared" si="43"/>
        <v>5538944.4155999999</v>
      </c>
    </row>
    <row r="116" spans="1:33" x14ac:dyDescent="0.25">
      <c r="A116" s="4">
        <v>1790</v>
      </c>
      <c r="C116" s="1">
        <v>8442000</v>
      </c>
      <c r="D116" s="1">
        <v>7428138</v>
      </c>
      <c r="E116" s="1">
        <v>471790</v>
      </c>
      <c r="F116" s="1">
        <v>258732</v>
      </c>
      <c r="L116" s="1">
        <v>56</v>
      </c>
      <c r="M116" s="1">
        <v>21105</v>
      </c>
      <c r="N116" s="1">
        <v>20260800</v>
      </c>
      <c r="O116" s="1">
        <v>14856275</v>
      </c>
      <c r="P116" s="1">
        <v>56</v>
      </c>
      <c r="Q116" s="1">
        <v>20429640</v>
      </c>
      <c r="R116" s="1">
        <v>14815275</v>
      </c>
      <c r="T116" s="3">
        <v>0.49408999999999997</v>
      </c>
      <c r="W116" s="1">
        <f t="shared" si="35"/>
        <v>10010658.672</v>
      </c>
      <c r="X116" s="1">
        <f t="shared" si="33"/>
        <v>7340336.9147499995</v>
      </c>
      <c r="Y116" s="1">
        <f t="shared" si="36"/>
        <v>10094080.827599999</v>
      </c>
      <c r="Z116" s="1">
        <f t="shared" si="40"/>
        <v>7320079.2247500001</v>
      </c>
      <c r="AB116" s="1">
        <f t="shared" si="37"/>
        <v>8442000</v>
      </c>
      <c r="AC116" s="1">
        <f t="shared" si="38"/>
        <v>10094080.827599999</v>
      </c>
      <c r="AD116" s="1">
        <f t="shared" si="39"/>
        <v>9515579.8331999984</v>
      </c>
      <c r="AE116" s="1">
        <f t="shared" si="41"/>
        <v>7320079.2247500001</v>
      </c>
      <c r="AF116" s="1">
        <f t="shared" si="42"/>
        <v>7428138</v>
      </c>
      <c r="AG116" s="1">
        <f t="shared" si="43"/>
        <v>7362851.3798333332</v>
      </c>
    </row>
    <row r="117" spans="1:33" x14ac:dyDescent="0.25">
      <c r="A117" s="4">
        <v>1791</v>
      </c>
      <c r="C117" s="1">
        <v>7669600</v>
      </c>
      <c r="D117" s="1">
        <v>6648310</v>
      </c>
      <c r="E117" s="1">
        <v>490173</v>
      </c>
      <c r="F117" s="1">
        <v>285629</v>
      </c>
      <c r="P117" s="1">
        <v>58</v>
      </c>
      <c r="Q117" s="1">
        <v>18557528</v>
      </c>
      <c r="R117" s="1">
        <v>13298501</v>
      </c>
      <c r="T117" s="3">
        <v>0.49408999999999997</v>
      </c>
      <c r="Y117" s="1">
        <f t="shared" si="36"/>
        <v>9169089.0095199998</v>
      </c>
      <c r="Z117" s="1">
        <f t="shared" si="40"/>
        <v>6570656.3590899995</v>
      </c>
      <c r="AB117" s="1">
        <f t="shared" si="37"/>
        <v>7669600</v>
      </c>
      <c r="AC117" s="1">
        <f t="shared" si="38"/>
        <v>9169089.0095199998</v>
      </c>
      <c r="AD117" s="1">
        <f t="shared" si="39"/>
        <v>8419344.5047600009</v>
      </c>
      <c r="AE117" s="1">
        <f t="shared" si="41"/>
        <v>6570656.3590899995</v>
      </c>
      <c r="AF117" s="1">
        <f t="shared" si="42"/>
        <v>6648310</v>
      </c>
      <c r="AG117" s="1">
        <f t="shared" si="43"/>
        <v>6609483.1795450002</v>
      </c>
    </row>
    <row r="118" spans="1:33" x14ac:dyDescent="0.25">
      <c r="A118" s="4">
        <v>1792</v>
      </c>
      <c r="C118" s="1">
        <v>6820000</v>
      </c>
      <c r="D118" s="1">
        <v>3522321</v>
      </c>
      <c r="E118" s="1">
        <v>565135</v>
      </c>
      <c r="F118" s="1">
        <v>59566</v>
      </c>
      <c r="P118" s="1">
        <v>50</v>
      </c>
      <c r="Q118" s="1">
        <v>16502464</v>
      </c>
      <c r="R118" s="1">
        <v>8444602</v>
      </c>
      <c r="T118" s="3">
        <v>0.49408999999999997</v>
      </c>
      <c r="Y118" s="1">
        <f t="shared" si="36"/>
        <v>8153702.4377599992</v>
      </c>
      <c r="Z118" s="1">
        <f t="shared" si="40"/>
        <v>4172393.4021799997</v>
      </c>
      <c r="AB118" s="1">
        <f t="shared" si="37"/>
        <v>6820000</v>
      </c>
      <c r="AC118" s="1">
        <f t="shared" si="38"/>
        <v>8153702.4377599992</v>
      </c>
      <c r="AD118" s="1">
        <f t="shared" si="39"/>
        <v>7486851.2188799996</v>
      </c>
      <c r="AE118" s="1">
        <f t="shared" si="41"/>
        <v>3522321</v>
      </c>
      <c r="AF118" s="1">
        <f t="shared" si="42"/>
        <v>4172393.4021799997</v>
      </c>
      <c r="AG118" s="1">
        <f t="shared" si="43"/>
        <v>3847357.2010899996</v>
      </c>
    </row>
    <row r="119" spans="1:33" x14ac:dyDescent="0.25">
      <c r="A119" s="4">
        <v>1793</v>
      </c>
      <c r="C119" s="1">
        <v>2167600</v>
      </c>
      <c r="D119" s="1">
        <v>157754</v>
      </c>
      <c r="E119" s="1">
        <v>51653</v>
      </c>
      <c r="F119" s="1">
        <v>14920</v>
      </c>
      <c r="P119" s="1">
        <v>9</v>
      </c>
      <c r="Q119" s="1">
        <v>5093616</v>
      </c>
      <c r="R119" s="1">
        <v>338647</v>
      </c>
      <c r="T119" s="3">
        <v>0.49408999999999997</v>
      </c>
      <c r="Y119" s="1">
        <f t="shared" si="36"/>
        <v>2516704.7294399999</v>
      </c>
      <c r="Z119" s="1">
        <f t="shared" si="40"/>
        <v>167322.09623</v>
      </c>
      <c r="AB119" s="1">
        <f t="shared" si="37"/>
        <v>2167600</v>
      </c>
      <c r="AC119" s="1">
        <f t="shared" si="38"/>
        <v>2516704.7294399999</v>
      </c>
      <c r="AD119" s="1">
        <f t="shared" si="39"/>
        <v>2342152.36472</v>
      </c>
      <c r="AE119" s="1">
        <f t="shared" si="41"/>
        <v>157754</v>
      </c>
      <c r="AF119" s="1">
        <f t="shared" si="42"/>
        <v>167322.09623</v>
      </c>
      <c r="AG119" s="1">
        <f t="shared" si="43"/>
        <v>162538.04811500001</v>
      </c>
    </row>
    <row r="120" spans="1:33" x14ac:dyDescent="0.25">
      <c r="A120" s="4">
        <v>1794</v>
      </c>
      <c r="C120" s="1">
        <v>9713400</v>
      </c>
      <c r="D120" s="1">
        <v>5596845</v>
      </c>
      <c r="E120" s="1">
        <v>611585</v>
      </c>
      <c r="F120" s="1">
        <v>175222</v>
      </c>
      <c r="P120" s="1">
        <v>57</v>
      </c>
      <c r="Q120" s="1">
        <v>23352516</v>
      </c>
      <c r="R120" s="1">
        <v>11135566</v>
      </c>
      <c r="T120" s="3">
        <v>0.49408999999999997</v>
      </c>
      <c r="Y120" s="1">
        <f t="shared" si="36"/>
        <v>11538244.630439999</v>
      </c>
      <c r="Z120" s="1">
        <f t="shared" si="40"/>
        <v>5501971.8049399992</v>
      </c>
      <c r="AB120" s="1">
        <f t="shared" si="37"/>
        <v>9713400</v>
      </c>
      <c r="AC120" s="1">
        <f t="shared" si="38"/>
        <v>11538244.630439999</v>
      </c>
      <c r="AD120" s="1">
        <f t="shared" si="39"/>
        <v>10625822.315219998</v>
      </c>
      <c r="AE120" s="1">
        <f t="shared" si="41"/>
        <v>5501971.8049399992</v>
      </c>
      <c r="AF120" s="1">
        <f t="shared" si="42"/>
        <v>5596845</v>
      </c>
      <c r="AG120" s="1">
        <f t="shared" si="43"/>
        <v>5549408.4024700001</v>
      </c>
    </row>
    <row r="121" spans="1:33" x14ac:dyDescent="0.25">
      <c r="A121" s="4">
        <v>1795</v>
      </c>
    </row>
    <row r="122" spans="1:33" x14ac:dyDescent="0.25">
      <c r="A122" s="4">
        <v>1796</v>
      </c>
    </row>
    <row r="123" spans="1:33" x14ac:dyDescent="0.25">
      <c r="A123" s="4">
        <v>1797</v>
      </c>
    </row>
    <row r="124" spans="1:33" x14ac:dyDescent="0.25">
      <c r="A124" s="4">
        <v>1798</v>
      </c>
    </row>
    <row r="125" spans="1:33" x14ac:dyDescent="0.25">
      <c r="A125" s="4">
        <v>1799</v>
      </c>
      <c r="C125" s="1">
        <v>3534000</v>
      </c>
      <c r="D125" s="1">
        <v>3114472</v>
      </c>
      <c r="E125" s="1">
        <v>553098</v>
      </c>
      <c r="AB125" s="1">
        <f>MIN(Y125,W125,U125,C125)</f>
        <v>3534000</v>
      </c>
      <c r="AC125" s="1">
        <f>MAX(Y125,W125,U125,C125)</f>
        <v>3534000</v>
      </c>
      <c r="AD125" s="1">
        <f>AVERAGE(C125,U125,W125,Y125)</f>
        <v>3534000</v>
      </c>
      <c r="AE125" s="1">
        <f>MIN(Z125,X125,V125,D125)</f>
        <v>3114472</v>
      </c>
      <c r="AF125" s="1">
        <f>MAX(Z125,X125,V125,D125)</f>
        <v>3114472</v>
      </c>
      <c r="AG125" s="1">
        <f>AVERAGE(Z125,X125,V125,D125)</f>
        <v>3114472</v>
      </c>
    </row>
    <row r="126" spans="1:33" x14ac:dyDescent="0.25">
      <c r="A126" s="4">
        <v>1800</v>
      </c>
      <c r="C126" s="1">
        <v>1750000</v>
      </c>
      <c r="AB126" s="1">
        <f>MIN(Y126,W126,U126,C126)</f>
        <v>1750000</v>
      </c>
      <c r="AC126" s="1">
        <f>MAX(Y126,W126,U126,C126)</f>
        <v>1750000</v>
      </c>
      <c r="AD126" s="1">
        <f>AVERAGE(C126,U126,W126,Y126)</f>
        <v>1750000</v>
      </c>
    </row>
    <row r="127" spans="1:33" x14ac:dyDescent="0.25">
      <c r="A127" s="4">
        <v>1801</v>
      </c>
      <c r="C127" s="1">
        <v>10250000</v>
      </c>
      <c r="AB127" s="1">
        <f>MIN(Y127,W127,U127,C127)</f>
        <v>10250000</v>
      </c>
      <c r="AC127" s="1">
        <f>MAX(Y127,W127,U127,C127)</f>
        <v>10250000</v>
      </c>
      <c r="AD127" s="1">
        <f>AVERAGE(C127,U127,W127,Y127)</f>
        <v>10250000</v>
      </c>
    </row>
    <row r="128" spans="1:33" x14ac:dyDescent="0.25">
      <c r="A128" s="4">
        <v>1802</v>
      </c>
    </row>
    <row r="129" spans="1:33" x14ac:dyDescent="0.25">
      <c r="A129" s="4">
        <v>1803</v>
      </c>
    </row>
    <row r="130" spans="1:33" x14ac:dyDescent="0.25">
      <c r="A130" s="4">
        <v>1804</v>
      </c>
      <c r="C130" s="1">
        <v>11310750</v>
      </c>
      <c r="D130" s="1">
        <v>3789864</v>
      </c>
      <c r="E130" s="1">
        <v>1303380</v>
      </c>
      <c r="F130" s="1">
        <v>64337</v>
      </c>
      <c r="AB130" s="1">
        <f t="shared" ref="AB130:AB138" si="44">MIN(Y130,W130,U130,C130)</f>
        <v>11310750</v>
      </c>
      <c r="AC130" s="1">
        <f t="shared" ref="AC130:AC138" si="45">MAX(Y130,W130,U130,C130)</f>
        <v>11310750</v>
      </c>
      <c r="AD130" s="1">
        <f t="shared" ref="AD130:AD138" si="46">AVERAGE(C130,U130,W130,Y130)</f>
        <v>11310750</v>
      </c>
      <c r="AE130" s="1">
        <f t="shared" ref="AE130:AE138" si="47">MIN(Z130,X130,V130,D130)</f>
        <v>3789864</v>
      </c>
      <c r="AF130" s="1">
        <f t="shared" ref="AF130:AF138" si="48">MAX(Z130,X130,V130,D130)</f>
        <v>3789864</v>
      </c>
      <c r="AG130" s="1">
        <f t="shared" ref="AG130:AG138" si="49">AVERAGE(Z130,X130,V130,D130)</f>
        <v>3789864</v>
      </c>
    </row>
    <row r="131" spans="1:33" x14ac:dyDescent="0.25">
      <c r="A131" s="4">
        <v>1805</v>
      </c>
      <c r="C131" s="1">
        <v>5177250</v>
      </c>
      <c r="D131" s="1">
        <v>3050755</v>
      </c>
      <c r="E131" s="1">
        <v>675350</v>
      </c>
      <c r="F131" s="1">
        <v>136744</v>
      </c>
      <c r="AB131" s="1">
        <f t="shared" si="44"/>
        <v>5177250</v>
      </c>
      <c r="AC131" s="1">
        <f t="shared" si="45"/>
        <v>5177250</v>
      </c>
      <c r="AD131" s="1">
        <f t="shared" si="46"/>
        <v>5177250</v>
      </c>
      <c r="AE131" s="1">
        <f t="shared" si="47"/>
        <v>3050755</v>
      </c>
      <c r="AF131" s="1">
        <f t="shared" si="48"/>
        <v>3050755</v>
      </c>
      <c r="AG131" s="1">
        <f t="shared" si="49"/>
        <v>3050755</v>
      </c>
    </row>
    <row r="132" spans="1:33" x14ac:dyDescent="0.25">
      <c r="A132" s="4">
        <v>1806</v>
      </c>
      <c r="C132" s="1">
        <v>9914400</v>
      </c>
      <c r="D132" s="1">
        <v>5072097</v>
      </c>
      <c r="E132" s="1">
        <v>798070</v>
      </c>
      <c r="F132" s="1">
        <v>92602</v>
      </c>
      <c r="AB132" s="1">
        <f t="shared" si="44"/>
        <v>9914400</v>
      </c>
      <c r="AC132" s="1">
        <f t="shared" si="45"/>
        <v>9914400</v>
      </c>
      <c r="AD132" s="1">
        <f t="shared" si="46"/>
        <v>9914400</v>
      </c>
      <c r="AE132" s="1">
        <f t="shared" si="47"/>
        <v>5072097</v>
      </c>
      <c r="AF132" s="1">
        <f t="shared" si="48"/>
        <v>5072097</v>
      </c>
      <c r="AG132" s="1">
        <f t="shared" si="49"/>
        <v>5072097</v>
      </c>
    </row>
    <row r="133" spans="1:33" x14ac:dyDescent="0.25">
      <c r="A133" s="4">
        <v>1807</v>
      </c>
      <c r="C133" s="1">
        <v>10730250</v>
      </c>
      <c r="D133" s="1">
        <v>2462353</v>
      </c>
      <c r="E133" s="1">
        <v>984490</v>
      </c>
      <c r="F133" s="1">
        <v>69026</v>
      </c>
      <c r="AB133" s="1">
        <f t="shared" si="44"/>
        <v>10730250</v>
      </c>
      <c r="AC133" s="1">
        <f t="shared" si="45"/>
        <v>10730250</v>
      </c>
      <c r="AD133" s="1">
        <f t="shared" si="46"/>
        <v>10730250</v>
      </c>
      <c r="AE133" s="1">
        <f t="shared" si="47"/>
        <v>2462353</v>
      </c>
      <c r="AF133" s="1">
        <f t="shared" si="48"/>
        <v>2462353</v>
      </c>
      <c r="AG133" s="1">
        <f t="shared" si="49"/>
        <v>2462353</v>
      </c>
    </row>
    <row r="134" spans="1:33" x14ac:dyDescent="0.25">
      <c r="A134" s="4">
        <v>1808</v>
      </c>
      <c r="C134" s="1">
        <v>8765100</v>
      </c>
      <c r="D134" s="1">
        <v>3780819</v>
      </c>
      <c r="E134" s="1">
        <v>818220</v>
      </c>
      <c r="F134" s="1">
        <v>59933</v>
      </c>
      <c r="AB134" s="1">
        <f t="shared" si="44"/>
        <v>8765100</v>
      </c>
      <c r="AC134" s="1">
        <f t="shared" si="45"/>
        <v>8765100</v>
      </c>
      <c r="AD134" s="1">
        <f t="shared" si="46"/>
        <v>8765100</v>
      </c>
      <c r="AE134" s="1">
        <f t="shared" si="47"/>
        <v>3780819</v>
      </c>
      <c r="AF134" s="1">
        <f t="shared" si="48"/>
        <v>3780819</v>
      </c>
      <c r="AG134" s="1">
        <f t="shared" si="49"/>
        <v>3780819</v>
      </c>
    </row>
    <row r="135" spans="1:33" x14ac:dyDescent="0.25">
      <c r="A135" s="4">
        <v>1809</v>
      </c>
      <c r="C135" s="1">
        <v>7812000</v>
      </c>
      <c r="D135" s="1">
        <v>1909036</v>
      </c>
      <c r="E135" s="1">
        <v>596310</v>
      </c>
      <c r="F135" s="1">
        <v>55275</v>
      </c>
      <c r="AB135" s="1">
        <f t="shared" si="44"/>
        <v>7812000</v>
      </c>
      <c r="AC135" s="1">
        <f t="shared" si="45"/>
        <v>7812000</v>
      </c>
      <c r="AD135" s="1">
        <f t="shared" si="46"/>
        <v>7812000</v>
      </c>
      <c r="AE135" s="1">
        <f t="shared" si="47"/>
        <v>1909036</v>
      </c>
      <c r="AF135" s="1">
        <f t="shared" si="48"/>
        <v>1909036</v>
      </c>
      <c r="AG135" s="1">
        <f t="shared" si="49"/>
        <v>1909036</v>
      </c>
    </row>
    <row r="136" spans="1:33" x14ac:dyDescent="0.25">
      <c r="A136" s="4">
        <v>1810</v>
      </c>
      <c r="C136" s="1">
        <v>8555180</v>
      </c>
      <c r="D136" s="1">
        <v>3290123</v>
      </c>
      <c r="E136" s="1">
        <v>962260</v>
      </c>
      <c r="F136" s="1">
        <v>44123</v>
      </c>
      <c r="AB136" s="1">
        <f t="shared" si="44"/>
        <v>8555180</v>
      </c>
      <c r="AC136" s="1">
        <f t="shared" si="45"/>
        <v>8555180</v>
      </c>
      <c r="AD136" s="1">
        <f t="shared" si="46"/>
        <v>8555180</v>
      </c>
      <c r="AE136" s="1">
        <f t="shared" si="47"/>
        <v>3290123</v>
      </c>
      <c r="AF136" s="1">
        <f t="shared" si="48"/>
        <v>3290123</v>
      </c>
      <c r="AG136" s="1">
        <f t="shared" si="49"/>
        <v>3290123</v>
      </c>
    </row>
    <row r="137" spans="1:33" x14ac:dyDescent="0.25">
      <c r="A137" s="4">
        <v>1811</v>
      </c>
      <c r="C137" s="1">
        <v>10019840</v>
      </c>
      <c r="D137" s="1">
        <v>3678094</v>
      </c>
      <c r="E137" s="1">
        <v>705510</v>
      </c>
      <c r="F137" s="1">
        <v>56165</v>
      </c>
      <c r="AB137" s="1">
        <f t="shared" si="44"/>
        <v>10019840</v>
      </c>
      <c r="AC137" s="1">
        <f t="shared" si="45"/>
        <v>10019840</v>
      </c>
      <c r="AD137" s="1">
        <f t="shared" si="46"/>
        <v>10019840</v>
      </c>
      <c r="AE137" s="1">
        <f t="shared" si="47"/>
        <v>3678094</v>
      </c>
      <c r="AF137" s="1">
        <f t="shared" si="48"/>
        <v>3678094</v>
      </c>
      <c r="AG137" s="1">
        <f t="shared" si="49"/>
        <v>3678094</v>
      </c>
    </row>
    <row r="138" spans="1:33" x14ac:dyDescent="0.25">
      <c r="A138" s="4">
        <v>1812</v>
      </c>
      <c r="C138" s="1">
        <v>7201200</v>
      </c>
      <c r="D138" s="1">
        <v>2180535</v>
      </c>
      <c r="E138" s="1">
        <v>551070</v>
      </c>
      <c r="F138" s="1">
        <v>59780</v>
      </c>
      <c r="AB138" s="1">
        <f t="shared" si="44"/>
        <v>7201200</v>
      </c>
      <c r="AC138" s="1">
        <f t="shared" si="45"/>
        <v>7201200</v>
      </c>
      <c r="AD138" s="1">
        <f t="shared" si="46"/>
        <v>7201200</v>
      </c>
      <c r="AE138" s="1">
        <f t="shared" si="47"/>
        <v>2180535</v>
      </c>
      <c r="AF138" s="1">
        <f t="shared" si="48"/>
        <v>2180535</v>
      </c>
      <c r="AG138" s="1">
        <f t="shared" si="49"/>
        <v>2180535</v>
      </c>
    </row>
    <row r="139" spans="1:33" x14ac:dyDescent="0.25">
      <c r="A139" s="4">
        <v>1813</v>
      </c>
    </row>
    <row r="140" spans="1:33" x14ac:dyDescent="0.25">
      <c r="A140" s="4">
        <v>1814</v>
      </c>
      <c r="C140" s="1">
        <v>7131720</v>
      </c>
      <c r="D140" s="1">
        <v>2213914</v>
      </c>
      <c r="E140" s="1">
        <v>745810</v>
      </c>
      <c r="F140" s="1">
        <v>52355</v>
      </c>
      <c r="AB140" s="1">
        <f>MIN(Y140,W140,U140,C140)</f>
        <v>7131720</v>
      </c>
      <c r="AC140" s="1">
        <f>MAX(Y140,W140,U140,C140)</f>
        <v>7131720</v>
      </c>
      <c r="AD140" s="1">
        <f>AVERAGE(C140,U140,W140,Y140)</f>
        <v>7131720</v>
      </c>
      <c r="AE140" s="1">
        <f>MIN(Z140,X140,V140,D140)</f>
        <v>2213914</v>
      </c>
      <c r="AF140" s="1">
        <f>MAX(Z140,X140,V140,D140)</f>
        <v>2213914</v>
      </c>
      <c r="AG140" s="1">
        <f>AVERAGE(Z140,X140,V140,D140)</f>
        <v>2213914</v>
      </c>
    </row>
    <row r="141" spans="1:33" x14ac:dyDescent="0.25">
      <c r="A141" s="4">
        <v>1815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6"/>
  <sheetViews>
    <sheetView topLeftCell="A2" zoomScale="70" zoomScaleNormal="70" workbookViewId="0">
      <pane ySplit="1860"/>
      <selection activeCell="C4" sqref="C4"/>
      <selection pane="bottomLeft" activeCell="K112" sqref="K112"/>
    </sheetView>
  </sheetViews>
  <sheetFormatPr defaultColWidth="10.7109375" defaultRowHeight="15" x14ac:dyDescent="0.25"/>
  <cols>
    <col min="1" max="1" width="10.7109375" style="5"/>
    <col min="23" max="23" width="5" customWidth="1"/>
    <col min="28" max="28" width="4" customWidth="1"/>
  </cols>
  <sheetData>
    <row r="1" spans="1:32" x14ac:dyDescent="0.25">
      <c r="C1" t="s">
        <v>42</v>
      </c>
    </row>
    <row r="2" spans="1:32" x14ac:dyDescent="0.25">
      <c r="C2" s="2" t="s">
        <v>40</v>
      </c>
      <c r="D2" s="1"/>
      <c r="E2" s="1"/>
      <c r="F2" s="1"/>
      <c r="J2" s="7" t="s">
        <v>44</v>
      </c>
      <c r="S2" s="7" t="s">
        <v>38</v>
      </c>
    </row>
    <row r="3" spans="1:32" x14ac:dyDescent="0.25">
      <c r="C3" s="1" t="s">
        <v>41</v>
      </c>
      <c r="D3" s="1"/>
      <c r="E3" s="1"/>
      <c r="F3" s="1"/>
      <c r="J3" t="s">
        <v>45</v>
      </c>
      <c r="S3" s="7" t="s">
        <v>1</v>
      </c>
      <c r="X3" s="7" t="s">
        <v>3</v>
      </c>
      <c r="AC3" s="7" t="s">
        <v>4</v>
      </c>
    </row>
    <row r="4" spans="1:32" x14ac:dyDescent="0.25">
      <c r="C4" s="1" t="s">
        <v>43</v>
      </c>
      <c r="D4" s="1"/>
      <c r="E4" s="1"/>
      <c r="F4" s="1"/>
      <c r="J4" t="s">
        <v>46</v>
      </c>
    </row>
    <row r="5" spans="1:32" x14ac:dyDescent="0.25">
      <c r="J5" t="s">
        <v>51</v>
      </c>
    </row>
    <row r="6" spans="1:32" x14ac:dyDescent="0.25">
      <c r="C6" s="1" t="s">
        <v>1</v>
      </c>
      <c r="D6" s="1" t="s">
        <v>3</v>
      </c>
      <c r="E6" s="1" t="s">
        <v>4</v>
      </c>
      <c r="F6" s="1" t="s">
        <v>1</v>
      </c>
      <c r="G6" s="1" t="s">
        <v>3</v>
      </c>
      <c r="H6" s="1" t="s">
        <v>4</v>
      </c>
      <c r="I6" s="1"/>
      <c r="J6" s="1" t="s">
        <v>1</v>
      </c>
      <c r="K6" s="1" t="s">
        <v>3</v>
      </c>
      <c r="L6" s="1" t="s">
        <v>5</v>
      </c>
      <c r="M6" s="1" t="s">
        <v>4</v>
      </c>
      <c r="N6" s="1" t="s">
        <v>1</v>
      </c>
      <c r="O6" s="1" t="s">
        <v>3</v>
      </c>
      <c r="P6" s="1" t="s">
        <v>5</v>
      </c>
      <c r="Q6" s="1" t="s">
        <v>4</v>
      </c>
      <c r="S6" s="1" t="s">
        <v>37</v>
      </c>
      <c r="T6" s="1" t="s">
        <v>36</v>
      </c>
      <c r="U6" s="1" t="s">
        <v>53</v>
      </c>
      <c r="V6" s="1" t="s">
        <v>52</v>
      </c>
      <c r="W6" s="1"/>
      <c r="X6" s="1" t="s">
        <v>37</v>
      </c>
      <c r="Y6" s="1" t="s">
        <v>36</v>
      </c>
      <c r="Z6" s="1" t="s">
        <v>53</v>
      </c>
      <c r="AA6" s="1" t="s">
        <v>52</v>
      </c>
      <c r="AB6" s="1"/>
      <c r="AC6" s="1" t="s">
        <v>37</v>
      </c>
      <c r="AD6" s="1" t="s">
        <v>36</v>
      </c>
      <c r="AE6" s="1" t="s">
        <v>53</v>
      </c>
      <c r="AF6" s="1" t="s">
        <v>52</v>
      </c>
    </row>
    <row r="7" spans="1:32" x14ac:dyDescent="0.25">
      <c r="A7" s="6"/>
      <c r="C7" s="1" t="s">
        <v>47</v>
      </c>
      <c r="D7" s="1" t="s">
        <v>47</v>
      </c>
      <c r="E7" s="1" t="s">
        <v>47</v>
      </c>
      <c r="F7" s="1" t="s">
        <v>49</v>
      </c>
      <c r="G7" s="1" t="s">
        <v>49</v>
      </c>
      <c r="H7" s="1" t="s">
        <v>49</v>
      </c>
      <c r="I7" s="1"/>
      <c r="J7" s="1" t="s">
        <v>49</v>
      </c>
      <c r="K7" s="1" t="s">
        <v>49</v>
      </c>
      <c r="L7" s="1" t="s">
        <v>49</v>
      </c>
      <c r="M7" s="1" t="s">
        <v>49</v>
      </c>
      <c r="N7" s="1" t="s">
        <v>49</v>
      </c>
      <c r="O7" s="1" t="s">
        <v>49</v>
      </c>
      <c r="P7" s="1" t="s">
        <v>49</v>
      </c>
      <c r="Q7" s="1" t="s">
        <v>49</v>
      </c>
      <c r="S7" s="1" t="s">
        <v>49</v>
      </c>
      <c r="T7" s="1" t="s">
        <v>49</v>
      </c>
      <c r="U7" s="1" t="s">
        <v>49</v>
      </c>
      <c r="V7" s="1" t="s">
        <v>49</v>
      </c>
      <c r="W7" s="1"/>
      <c r="X7" s="1" t="s">
        <v>49</v>
      </c>
      <c r="Y7" s="1" t="s">
        <v>49</v>
      </c>
      <c r="Z7" s="1" t="s">
        <v>49</v>
      </c>
      <c r="AA7" s="1" t="s">
        <v>49</v>
      </c>
      <c r="AB7" s="1"/>
      <c r="AC7" s="1" t="s">
        <v>49</v>
      </c>
      <c r="AD7" s="1" t="s">
        <v>49</v>
      </c>
      <c r="AE7" s="1" t="s">
        <v>49</v>
      </c>
      <c r="AF7" s="1" t="s">
        <v>49</v>
      </c>
    </row>
    <row r="8" spans="1:32" x14ac:dyDescent="0.25">
      <c r="A8" s="6"/>
      <c r="C8" s="1" t="s">
        <v>48</v>
      </c>
      <c r="D8" s="1" t="s">
        <v>48</v>
      </c>
      <c r="E8" s="1" t="s">
        <v>48</v>
      </c>
      <c r="F8" t="s">
        <v>48</v>
      </c>
      <c r="G8" t="s">
        <v>48</v>
      </c>
      <c r="H8" t="s">
        <v>48</v>
      </c>
      <c r="J8" t="s">
        <v>50</v>
      </c>
      <c r="K8" t="s">
        <v>50</v>
      </c>
      <c r="L8" t="s">
        <v>50</v>
      </c>
      <c r="M8" t="s">
        <v>50</v>
      </c>
      <c r="N8" t="s">
        <v>48</v>
      </c>
      <c r="O8" t="s">
        <v>48</v>
      </c>
      <c r="P8" t="s">
        <v>48</v>
      </c>
      <c r="Q8" t="s">
        <v>48</v>
      </c>
      <c r="S8" t="s">
        <v>48</v>
      </c>
      <c r="T8" t="s">
        <v>48</v>
      </c>
      <c r="U8" t="s">
        <v>48</v>
      </c>
      <c r="V8" t="s">
        <v>48</v>
      </c>
      <c r="X8" t="s">
        <v>48</v>
      </c>
      <c r="Y8" t="s">
        <v>48</v>
      </c>
      <c r="Z8" t="s">
        <v>48</v>
      </c>
      <c r="AA8" t="s">
        <v>48</v>
      </c>
      <c r="AC8" t="s">
        <v>48</v>
      </c>
      <c r="AD8" t="s">
        <v>48</v>
      </c>
      <c r="AE8" t="s">
        <v>48</v>
      </c>
      <c r="AF8" t="s">
        <v>48</v>
      </c>
    </row>
    <row r="9" spans="1:32" x14ac:dyDescent="0.25">
      <c r="A9" s="6">
        <v>1683</v>
      </c>
      <c r="J9">
        <v>0.14000000000000001</v>
      </c>
      <c r="N9">
        <f>J9/0.49409</f>
        <v>0.28334918739500903</v>
      </c>
      <c r="S9">
        <f>MIN(N9,F9)</f>
        <v>0.28334918739500903</v>
      </c>
      <c r="T9">
        <f>MAX(N9,F9)</f>
        <v>0.28334918739500903</v>
      </c>
      <c r="U9">
        <f>AVERAGE(N9,F9)</f>
        <v>0.28334918739500903</v>
      </c>
      <c r="V9">
        <f t="shared" ref="V9:V21" si="0">AVERAGE(U9,U8,U7,U6,U10,U11,U12,U5,U13,U4)</f>
        <v>0.28334918739500903</v>
      </c>
    </row>
    <row r="10" spans="1:32" x14ac:dyDescent="0.25">
      <c r="A10" s="6">
        <v>1684</v>
      </c>
      <c r="J10">
        <v>0.14000000000000001</v>
      </c>
      <c r="N10">
        <f t="shared" ref="N10:N26" si="1">J10/0.49409</f>
        <v>0.28334918739500903</v>
      </c>
      <c r="S10">
        <f t="shared" ref="S10:S73" si="2">MIN(N10,F10)</f>
        <v>0.28334918739500903</v>
      </c>
      <c r="T10">
        <f t="shared" ref="T10:T73" si="3">MAX(N10,F10)</f>
        <v>0.28334918739500903</v>
      </c>
      <c r="U10">
        <f t="shared" ref="U10:U73" si="4">AVERAGE(N10,F10)</f>
        <v>0.28334918739500903</v>
      </c>
      <c r="V10">
        <f t="shared" si="0"/>
        <v>0.28334918739500908</v>
      </c>
    </row>
    <row r="11" spans="1:32" x14ac:dyDescent="0.25">
      <c r="A11" s="6">
        <v>1685</v>
      </c>
      <c r="J11">
        <v>0.14000000000000001</v>
      </c>
      <c r="N11">
        <f t="shared" si="1"/>
        <v>0.28334918739500903</v>
      </c>
      <c r="S11">
        <f t="shared" si="2"/>
        <v>0.28334918739500903</v>
      </c>
      <c r="T11">
        <f t="shared" si="3"/>
        <v>0.28334918739500903</v>
      </c>
      <c r="U11">
        <f t="shared" si="4"/>
        <v>0.28334918739500903</v>
      </c>
      <c r="V11">
        <f t="shared" si="0"/>
        <v>0.28334918739500908</v>
      </c>
    </row>
    <row r="12" spans="1:32" x14ac:dyDescent="0.25">
      <c r="A12" s="6">
        <v>1686</v>
      </c>
      <c r="J12">
        <v>0.14000000000000001</v>
      </c>
      <c r="N12">
        <f t="shared" si="1"/>
        <v>0.28334918739500903</v>
      </c>
      <c r="S12">
        <f t="shared" si="2"/>
        <v>0.28334918739500903</v>
      </c>
      <c r="T12">
        <f t="shared" si="3"/>
        <v>0.28334918739500903</v>
      </c>
      <c r="U12">
        <f t="shared" si="4"/>
        <v>0.28334918739500903</v>
      </c>
      <c r="V12">
        <f t="shared" si="0"/>
        <v>0.2909388977716611</v>
      </c>
    </row>
    <row r="13" spans="1:32" x14ac:dyDescent="0.25">
      <c r="A13" s="6">
        <v>1687</v>
      </c>
      <c r="J13">
        <v>0.14000000000000001</v>
      </c>
      <c r="N13">
        <f t="shared" si="1"/>
        <v>0.28334918739500903</v>
      </c>
      <c r="S13">
        <f t="shared" si="2"/>
        <v>0.28334918739500903</v>
      </c>
      <c r="T13">
        <f t="shared" si="3"/>
        <v>0.28334918739500903</v>
      </c>
      <c r="U13">
        <f t="shared" si="4"/>
        <v>0.28334918739500903</v>
      </c>
      <c r="V13">
        <f t="shared" si="0"/>
        <v>0.29684200584239046</v>
      </c>
    </row>
    <row r="14" spans="1:32" x14ac:dyDescent="0.25">
      <c r="A14" s="6">
        <v>1688</v>
      </c>
      <c r="J14">
        <v>0.14000000000000001</v>
      </c>
      <c r="N14">
        <f t="shared" si="1"/>
        <v>0.28334918739500903</v>
      </c>
      <c r="S14">
        <f t="shared" si="2"/>
        <v>0.28334918739500903</v>
      </c>
      <c r="T14">
        <f t="shared" si="3"/>
        <v>0.28334918739500903</v>
      </c>
      <c r="U14">
        <f t="shared" si="4"/>
        <v>0.28334918739500903</v>
      </c>
      <c r="V14">
        <f t="shared" si="0"/>
        <v>0.30156449229897392</v>
      </c>
    </row>
    <row r="15" spans="1:32" x14ac:dyDescent="0.25">
      <c r="A15" s="6">
        <v>1689</v>
      </c>
      <c r="J15">
        <v>0.14000000000000001</v>
      </c>
      <c r="N15">
        <f t="shared" si="1"/>
        <v>0.28334918739500903</v>
      </c>
      <c r="S15">
        <f t="shared" si="2"/>
        <v>0.28334918739500903</v>
      </c>
      <c r="T15">
        <f t="shared" si="3"/>
        <v>0.28334918739500903</v>
      </c>
      <c r="U15">
        <f t="shared" si="4"/>
        <v>0.28334918739500903</v>
      </c>
      <c r="V15">
        <f t="shared" si="0"/>
        <v>0.30763626060029553</v>
      </c>
    </row>
    <row r="16" spans="1:32" x14ac:dyDescent="0.25">
      <c r="A16" s="6">
        <v>1690</v>
      </c>
      <c r="J16">
        <v>0.17</v>
      </c>
      <c r="N16">
        <f t="shared" si="1"/>
        <v>0.34406687040822526</v>
      </c>
      <c r="S16">
        <f t="shared" si="2"/>
        <v>0.34406687040822526</v>
      </c>
      <c r="T16">
        <f t="shared" si="3"/>
        <v>0.34406687040822526</v>
      </c>
      <c r="U16">
        <f t="shared" si="4"/>
        <v>0.34406687040822526</v>
      </c>
      <c r="V16">
        <f t="shared" si="0"/>
        <v>0.31370802890161714</v>
      </c>
    </row>
    <row r="17" spans="1:32" x14ac:dyDescent="0.25">
      <c r="A17" s="6">
        <v>1691</v>
      </c>
      <c r="J17">
        <v>0.17</v>
      </c>
      <c r="N17">
        <f t="shared" si="1"/>
        <v>0.34406687040822526</v>
      </c>
      <c r="S17">
        <f t="shared" si="2"/>
        <v>0.34406687040822526</v>
      </c>
      <c r="T17">
        <f t="shared" si="3"/>
        <v>0.34406687040822526</v>
      </c>
      <c r="U17">
        <f t="shared" si="4"/>
        <v>0.34406687040822526</v>
      </c>
      <c r="V17">
        <f t="shared" si="0"/>
        <v>0.31977979720293881</v>
      </c>
    </row>
    <row r="18" spans="1:32" x14ac:dyDescent="0.25">
      <c r="A18" s="6">
        <v>1692</v>
      </c>
      <c r="J18">
        <v>0.17</v>
      </c>
      <c r="N18">
        <f t="shared" si="1"/>
        <v>0.34406687040822526</v>
      </c>
      <c r="S18">
        <f t="shared" si="2"/>
        <v>0.34406687040822526</v>
      </c>
      <c r="T18">
        <f t="shared" si="3"/>
        <v>0.34406687040822526</v>
      </c>
      <c r="U18">
        <f t="shared" si="4"/>
        <v>0.34406687040822526</v>
      </c>
      <c r="V18">
        <f t="shared" si="0"/>
        <v>0.32585156550426042</v>
      </c>
    </row>
    <row r="19" spans="1:32" x14ac:dyDescent="0.25">
      <c r="A19" s="6">
        <v>1693</v>
      </c>
      <c r="J19">
        <v>0.17</v>
      </c>
      <c r="N19">
        <f t="shared" si="1"/>
        <v>0.34406687040822526</v>
      </c>
      <c r="S19">
        <f t="shared" si="2"/>
        <v>0.34406687040822526</v>
      </c>
      <c r="T19">
        <f t="shared" si="3"/>
        <v>0.34406687040822526</v>
      </c>
      <c r="U19">
        <f t="shared" si="4"/>
        <v>0.34406687040822526</v>
      </c>
      <c r="V19">
        <f t="shared" si="0"/>
        <v>0.33192333380558203</v>
      </c>
    </row>
    <row r="20" spans="1:32" x14ac:dyDescent="0.25">
      <c r="A20" s="6">
        <v>1694</v>
      </c>
      <c r="J20">
        <v>0.17</v>
      </c>
      <c r="N20">
        <f t="shared" si="1"/>
        <v>0.34406687040822526</v>
      </c>
      <c r="S20">
        <f t="shared" si="2"/>
        <v>0.34406687040822526</v>
      </c>
      <c r="T20">
        <f t="shared" si="3"/>
        <v>0.34406687040822526</v>
      </c>
      <c r="U20">
        <f t="shared" si="4"/>
        <v>0.34406687040822526</v>
      </c>
      <c r="V20">
        <f t="shared" si="0"/>
        <v>0.33799510210690364</v>
      </c>
    </row>
    <row r="21" spans="1:32" x14ac:dyDescent="0.25">
      <c r="A21" s="6">
        <v>1695</v>
      </c>
      <c r="J21">
        <v>0.17</v>
      </c>
      <c r="N21">
        <f t="shared" si="1"/>
        <v>0.34406687040822526</v>
      </c>
      <c r="S21">
        <f t="shared" si="2"/>
        <v>0.34406687040822526</v>
      </c>
      <c r="T21">
        <f t="shared" si="3"/>
        <v>0.34406687040822526</v>
      </c>
      <c r="U21">
        <f t="shared" si="4"/>
        <v>0.34406687040822526</v>
      </c>
      <c r="V21">
        <f t="shared" si="0"/>
        <v>0.34406687040822526</v>
      </c>
    </row>
    <row r="22" spans="1:32" x14ac:dyDescent="0.25">
      <c r="A22" s="6">
        <v>1696</v>
      </c>
      <c r="J22">
        <v>0.17</v>
      </c>
      <c r="N22">
        <f t="shared" si="1"/>
        <v>0.34406687040822526</v>
      </c>
      <c r="S22">
        <f t="shared" si="2"/>
        <v>0.34406687040822526</v>
      </c>
      <c r="T22">
        <f t="shared" si="3"/>
        <v>0.34406687040822526</v>
      </c>
      <c r="U22">
        <f t="shared" si="4"/>
        <v>0.34406687040822526</v>
      </c>
      <c r="V22">
        <f t="shared" ref="V22:V85" si="5">AVERAGE(U22,U21,U20,U19,U23,U24,U25,U18,U26,U17)</f>
        <v>0.3481147159424397</v>
      </c>
      <c r="AF22">
        <f t="shared" ref="AF22:AF72" si="6">AVERAGE(AE22,AE21,AE20,AE19,AE23,AE24,AE25,AE18,AE26,AE17)</f>
        <v>1.3155497986196847</v>
      </c>
    </row>
    <row r="23" spans="1:32" x14ac:dyDescent="0.25">
      <c r="A23" s="6">
        <v>1697</v>
      </c>
      <c r="J23">
        <v>0.17</v>
      </c>
      <c r="N23">
        <f t="shared" si="1"/>
        <v>0.34406687040822526</v>
      </c>
      <c r="S23">
        <f t="shared" si="2"/>
        <v>0.34406687040822526</v>
      </c>
      <c r="T23">
        <f t="shared" si="3"/>
        <v>0.34406687040822526</v>
      </c>
      <c r="U23">
        <f t="shared" si="4"/>
        <v>0.34406687040822526</v>
      </c>
      <c r="V23">
        <f t="shared" si="5"/>
        <v>0.35216256147665409</v>
      </c>
      <c r="AF23">
        <f t="shared" si="6"/>
        <v>1.3155497986196847</v>
      </c>
    </row>
    <row r="24" spans="1:32" x14ac:dyDescent="0.25">
      <c r="A24" s="6">
        <v>1698</v>
      </c>
      <c r="J24">
        <v>0.17</v>
      </c>
      <c r="N24">
        <f t="shared" si="1"/>
        <v>0.34406687040822526</v>
      </c>
      <c r="S24">
        <f t="shared" si="2"/>
        <v>0.34406687040822526</v>
      </c>
      <c r="T24">
        <f t="shared" si="3"/>
        <v>0.34406687040822526</v>
      </c>
      <c r="U24">
        <f t="shared" si="4"/>
        <v>0.34406687040822526</v>
      </c>
      <c r="V24">
        <f t="shared" si="5"/>
        <v>0.35621040701086853</v>
      </c>
      <c r="AF24">
        <f t="shared" si="6"/>
        <v>1.3155497986196847</v>
      </c>
    </row>
    <row r="25" spans="1:32" x14ac:dyDescent="0.25">
      <c r="A25" s="6">
        <v>1699</v>
      </c>
      <c r="J25">
        <v>0.17</v>
      </c>
      <c r="N25">
        <f t="shared" si="1"/>
        <v>0.34406687040822526</v>
      </c>
      <c r="S25">
        <f t="shared" si="2"/>
        <v>0.34406687040822526</v>
      </c>
      <c r="T25">
        <f t="shared" si="3"/>
        <v>0.34406687040822526</v>
      </c>
      <c r="U25">
        <f t="shared" si="4"/>
        <v>0.34406687040822526</v>
      </c>
      <c r="V25">
        <f t="shared" si="5"/>
        <v>0.36025825254508292</v>
      </c>
      <c r="AF25">
        <f t="shared" si="6"/>
        <v>1.3155497986196847</v>
      </c>
    </row>
    <row r="26" spans="1:32" x14ac:dyDescent="0.25">
      <c r="A26" s="4">
        <v>1700</v>
      </c>
      <c r="J26">
        <v>0.19</v>
      </c>
      <c r="L26">
        <v>0.45</v>
      </c>
      <c r="M26">
        <v>0.65</v>
      </c>
      <c r="N26">
        <f t="shared" si="1"/>
        <v>0.38454532575036937</v>
      </c>
      <c r="P26">
        <f>L26/0.49409</f>
        <v>0.91076524519824331</v>
      </c>
      <c r="Q26">
        <f>M26/0.49409</f>
        <v>1.3155497986196847</v>
      </c>
      <c r="S26">
        <f t="shared" si="2"/>
        <v>0.38454532575036937</v>
      </c>
      <c r="T26">
        <f t="shared" si="3"/>
        <v>0.38454532575036937</v>
      </c>
      <c r="U26">
        <f t="shared" si="4"/>
        <v>0.38454532575036937</v>
      </c>
      <c r="V26">
        <f t="shared" si="5"/>
        <v>0.36430609807929737</v>
      </c>
      <c r="AC26">
        <f t="shared" ref="AC26:AC73" si="7">MIN(Q26,H26)</f>
        <v>1.3155497986196847</v>
      </c>
      <c r="AD26">
        <f t="shared" ref="AD26:AD73" si="8">MAX(Q26,H26)</f>
        <v>1.3155497986196847</v>
      </c>
      <c r="AE26">
        <f t="shared" ref="AE26:AE73" si="9">AVERAGE(Q26,H26)</f>
        <v>1.3155497986196847</v>
      </c>
      <c r="AF26">
        <f t="shared" si="6"/>
        <v>1.3155497986196847</v>
      </c>
    </row>
    <row r="27" spans="1:32" x14ac:dyDescent="0.25">
      <c r="A27" s="4">
        <v>1701</v>
      </c>
      <c r="J27">
        <v>0.19</v>
      </c>
      <c r="L27">
        <v>0.45</v>
      </c>
      <c r="M27">
        <v>0.65</v>
      </c>
      <c r="N27">
        <f t="shared" ref="N27:N90" si="10">J27/0.49409</f>
        <v>0.38454532575036937</v>
      </c>
      <c r="P27">
        <f t="shared" ref="P27:P90" si="11">L27/0.49409</f>
        <v>0.91076524519824331</v>
      </c>
      <c r="Q27">
        <f t="shared" ref="Q27:Q90" si="12">M27/0.49409</f>
        <v>1.3155497986196847</v>
      </c>
      <c r="S27">
        <f t="shared" si="2"/>
        <v>0.38454532575036937</v>
      </c>
      <c r="T27">
        <f t="shared" si="3"/>
        <v>0.38454532575036937</v>
      </c>
      <c r="U27">
        <f t="shared" si="4"/>
        <v>0.38454532575036937</v>
      </c>
      <c r="V27">
        <f t="shared" si="5"/>
        <v>0.36835394361351176</v>
      </c>
      <c r="AC27">
        <f t="shared" si="7"/>
        <v>1.3155497986196847</v>
      </c>
      <c r="AD27">
        <f t="shared" si="8"/>
        <v>1.3155497986196847</v>
      </c>
      <c r="AE27">
        <f t="shared" si="9"/>
        <v>1.3155497986196847</v>
      </c>
      <c r="AF27">
        <f t="shared" si="6"/>
        <v>1.3155497986196847</v>
      </c>
    </row>
    <row r="28" spans="1:32" x14ac:dyDescent="0.25">
      <c r="A28" s="4">
        <v>1702</v>
      </c>
      <c r="J28">
        <v>0.19</v>
      </c>
      <c r="L28">
        <v>0.45</v>
      </c>
      <c r="M28">
        <v>0.65</v>
      </c>
      <c r="N28">
        <f t="shared" si="10"/>
        <v>0.38454532575036937</v>
      </c>
      <c r="P28">
        <f t="shared" si="11"/>
        <v>0.91076524519824331</v>
      </c>
      <c r="Q28">
        <f t="shared" si="12"/>
        <v>1.3155497986196847</v>
      </c>
      <c r="S28">
        <f t="shared" si="2"/>
        <v>0.38454532575036937</v>
      </c>
      <c r="T28">
        <f t="shared" si="3"/>
        <v>0.38454532575036937</v>
      </c>
      <c r="U28">
        <f t="shared" si="4"/>
        <v>0.38454532575036937</v>
      </c>
      <c r="V28">
        <f t="shared" si="5"/>
        <v>0.37240178914772615</v>
      </c>
      <c r="AC28">
        <f t="shared" si="7"/>
        <v>1.3155497986196847</v>
      </c>
      <c r="AD28">
        <f t="shared" si="8"/>
        <v>1.3155497986196847</v>
      </c>
      <c r="AE28">
        <f t="shared" si="9"/>
        <v>1.3155497986196847</v>
      </c>
      <c r="AF28">
        <f t="shared" si="6"/>
        <v>1.3155497986196847</v>
      </c>
    </row>
    <row r="29" spans="1:32" x14ac:dyDescent="0.25">
      <c r="A29" s="4">
        <v>1703</v>
      </c>
      <c r="J29">
        <v>0.19</v>
      </c>
      <c r="L29">
        <v>0.45</v>
      </c>
      <c r="M29">
        <v>0.65</v>
      </c>
      <c r="N29">
        <f t="shared" si="10"/>
        <v>0.38454532575036937</v>
      </c>
      <c r="P29">
        <f t="shared" si="11"/>
        <v>0.91076524519824331</v>
      </c>
      <c r="Q29">
        <f t="shared" si="12"/>
        <v>1.3155497986196847</v>
      </c>
      <c r="S29">
        <f t="shared" si="2"/>
        <v>0.38454532575036937</v>
      </c>
      <c r="T29">
        <f t="shared" si="3"/>
        <v>0.38454532575036937</v>
      </c>
      <c r="U29">
        <f t="shared" si="4"/>
        <v>0.38454532575036937</v>
      </c>
      <c r="V29">
        <f t="shared" si="5"/>
        <v>0.37644963468194059</v>
      </c>
      <c r="AC29">
        <f t="shared" si="7"/>
        <v>1.3155497986196847</v>
      </c>
      <c r="AD29">
        <f t="shared" si="8"/>
        <v>1.3155497986196847</v>
      </c>
      <c r="AE29">
        <f t="shared" si="9"/>
        <v>1.3155497986196847</v>
      </c>
      <c r="AF29">
        <f t="shared" si="6"/>
        <v>1.3155497986196847</v>
      </c>
    </row>
    <row r="30" spans="1:32" x14ac:dyDescent="0.25">
      <c r="A30" s="4">
        <v>1704</v>
      </c>
      <c r="J30">
        <v>0.19</v>
      </c>
      <c r="L30">
        <v>0.45</v>
      </c>
      <c r="M30">
        <v>0.65</v>
      </c>
      <c r="N30">
        <f t="shared" si="10"/>
        <v>0.38454532575036937</v>
      </c>
      <c r="P30">
        <f t="shared" si="11"/>
        <v>0.91076524519824331</v>
      </c>
      <c r="Q30">
        <f t="shared" si="12"/>
        <v>1.3155497986196847</v>
      </c>
      <c r="S30">
        <f t="shared" si="2"/>
        <v>0.38454532575036937</v>
      </c>
      <c r="T30">
        <f t="shared" si="3"/>
        <v>0.38454532575036937</v>
      </c>
      <c r="U30">
        <f t="shared" si="4"/>
        <v>0.38454532575036937</v>
      </c>
      <c r="V30">
        <f t="shared" si="5"/>
        <v>0.38049748021615504</v>
      </c>
      <c r="AC30">
        <f t="shared" si="7"/>
        <v>1.3155497986196847</v>
      </c>
      <c r="AD30">
        <f t="shared" si="8"/>
        <v>1.3155497986196847</v>
      </c>
      <c r="AE30">
        <f t="shared" si="9"/>
        <v>1.3155497986196847</v>
      </c>
      <c r="AF30">
        <f t="shared" si="6"/>
        <v>1.3155497986196847</v>
      </c>
    </row>
    <row r="31" spans="1:32" x14ac:dyDescent="0.25">
      <c r="A31" s="4">
        <v>1705</v>
      </c>
      <c r="J31">
        <v>0.19</v>
      </c>
      <c r="L31">
        <v>0.45</v>
      </c>
      <c r="M31">
        <v>0.65</v>
      </c>
      <c r="N31">
        <f t="shared" si="10"/>
        <v>0.38454532575036937</v>
      </c>
      <c r="P31">
        <f t="shared" si="11"/>
        <v>0.91076524519824331</v>
      </c>
      <c r="Q31">
        <f t="shared" si="12"/>
        <v>1.3155497986196847</v>
      </c>
      <c r="S31">
        <f t="shared" si="2"/>
        <v>0.38454532575036937</v>
      </c>
      <c r="T31">
        <f t="shared" si="3"/>
        <v>0.38454532575036937</v>
      </c>
      <c r="U31">
        <f t="shared" si="4"/>
        <v>0.38454532575036937</v>
      </c>
      <c r="V31">
        <f t="shared" si="5"/>
        <v>0.38454532575036943</v>
      </c>
      <c r="AC31">
        <f t="shared" si="7"/>
        <v>1.3155497986196847</v>
      </c>
      <c r="AD31">
        <f t="shared" si="8"/>
        <v>1.3155497986196847</v>
      </c>
      <c r="AE31">
        <f t="shared" si="9"/>
        <v>1.3155497986196847</v>
      </c>
      <c r="AF31">
        <f t="shared" si="6"/>
        <v>1.3155497986196847</v>
      </c>
    </row>
    <row r="32" spans="1:32" x14ac:dyDescent="0.25">
      <c r="A32" s="4">
        <v>1706</v>
      </c>
      <c r="J32">
        <v>0.19</v>
      </c>
      <c r="L32">
        <v>0.45</v>
      </c>
      <c r="M32">
        <v>0.65</v>
      </c>
      <c r="N32">
        <f t="shared" si="10"/>
        <v>0.38454532575036937</v>
      </c>
      <c r="P32">
        <f t="shared" si="11"/>
        <v>0.91076524519824331</v>
      </c>
      <c r="Q32">
        <f t="shared" si="12"/>
        <v>1.3155497986196847</v>
      </c>
      <c r="S32">
        <f t="shared" si="2"/>
        <v>0.38454532575036937</v>
      </c>
      <c r="T32">
        <f t="shared" si="3"/>
        <v>0.38454532575036937</v>
      </c>
      <c r="U32">
        <f t="shared" si="4"/>
        <v>0.38454532575036937</v>
      </c>
      <c r="V32">
        <f t="shared" si="5"/>
        <v>0.37847355744904781</v>
      </c>
      <c r="AC32">
        <f t="shared" si="7"/>
        <v>1.3155497986196847</v>
      </c>
      <c r="AD32">
        <f t="shared" si="8"/>
        <v>1.3155497986196847</v>
      </c>
      <c r="AE32">
        <f t="shared" si="9"/>
        <v>1.3155497986196847</v>
      </c>
      <c r="AF32">
        <f t="shared" si="6"/>
        <v>1.3256694124552209</v>
      </c>
    </row>
    <row r="33" spans="1:32" x14ac:dyDescent="0.25">
      <c r="A33" s="4">
        <v>1707</v>
      </c>
      <c r="J33">
        <v>0.19</v>
      </c>
      <c r="L33">
        <v>0.45</v>
      </c>
      <c r="M33">
        <v>0.65</v>
      </c>
      <c r="N33">
        <f t="shared" si="10"/>
        <v>0.38454532575036937</v>
      </c>
      <c r="P33">
        <f t="shared" si="11"/>
        <v>0.91076524519824331</v>
      </c>
      <c r="Q33">
        <f t="shared" si="12"/>
        <v>1.3155497986196847</v>
      </c>
      <c r="S33">
        <f t="shared" si="2"/>
        <v>0.38454532575036937</v>
      </c>
      <c r="T33">
        <f t="shared" si="3"/>
        <v>0.38454532575036937</v>
      </c>
      <c r="U33">
        <f t="shared" si="4"/>
        <v>0.38454532575036937</v>
      </c>
      <c r="V33">
        <f t="shared" si="5"/>
        <v>0.3724017891477262</v>
      </c>
      <c r="AC33">
        <f t="shared" si="7"/>
        <v>1.3155497986196847</v>
      </c>
      <c r="AD33">
        <f t="shared" si="8"/>
        <v>1.3155497986196847</v>
      </c>
      <c r="AE33">
        <f t="shared" si="9"/>
        <v>1.3155497986196847</v>
      </c>
      <c r="AF33">
        <f t="shared" si="6"/>
        <v>1.3357890262907568</v>
      </c>
    </row>
    <row r="34" spans="1:32" x14ac:dyDescent="0.25">
      <c r="A34" s="4">
        <v>1708</v>
      </c>
      <c r="J34">
        <v>0.19</v>
      </c>
      <c r="L34">
        <v>0.45</v>
      </c>
      <c r="M34">
        <v>0.65</v>
      </c>
      <c r="N34">
        <f t="shared" si="10"/>
        <v>0.38454532575036937</v>
      </c>
      <c r="P34">
        <f t="shared" si="11"/>
        <v>0.91076524519824331</v>
      </c>
      <c r="Q34">
        <f t="shared" si="12"/>
        <v>1.3155497986196847</v>
      </c>
      <c r="S34">
        <f t="shared" si="2"/>
        <v>0.38454532575036937</v>
      </c>
      <c r="T34">
        <f t="shared" si="3"/>
        <v>0.38454532575036937</v>
      </c>
      <c r="U34">
        <f t="shared" si="4"/>
        <v>0.38454532575036937</v>
      </c>
      <c r="V34">
        <f t="shared" si="5"/>
        <v>0.36633002084640459</v>
      </c>
      <c r="AC34">
        <f t="shared" si="7"/>
        <v>1.3155497986196847</v>
      </c>
      <c r="AD34">
        <f t="shared" si="8"/>
        <v>1.3155497986196847</v>
      </c>
      <c r="AE34">
        <f t="shared" si="9"/>
        <v>1.3155497986196847</v>
      </c>
      <c r="AF34">
        <f t="shared" si="6"/>
        <v>1.345908640126293</v>
      </c>
    </row>
    <row r="35" spans="1:32" x14ac:dyDescent="0.25">
      <c r="A35" s="4">
        <v>1709</v>
      </c>
      <c r="J35">
        <v>0.19</v>
      </c>
      <c r="L35">
        <v>0.45</v>
      </c>
      <c r="M35">
        <v>0.65</v>
      </c>
      <c r="N35">
        <f t="shared" si="10"/>
        <v>0.38454532575036937</v>
      </c>
      <c r="P35">
        <f t="shared" si="11"/>
        <v>0.91076524519824331</v>
      </c>
      <c r="Q35">
        <f t="shared" si="12"/>
        <v>1.3155497986196847</v>
      </c>
      <c r="S35">
        <f t="shared" si="2"/>
        <v>0.38454532575036937</v>
      </c>
      <c r="T35">
        <f t="shared" si="3"/>
        <v>0.38454532575036937</v>
      </c>
      <c r="U35">
        <f t="shared" si="4"/>
        <v>0.38454532575036937</v>
      </c>
      <c r="V35">
        <f t="shared" si="5"/>
        <v>0.36025825254508292</v>
      </c>
      <c r="AC35">
        <f t="shared" si="7"/>
        <v>1.3155497986196847</v>
      </c>
      <c r="AD35">
        <f t="shared" si="8"/>
        <v>1.3155497986196847</v>
      </c>
      <c r="AE35">
        <f t="shared" si="9"/>
        <v>1.3155497986196847</v>
      </c>
      <c r="AF35">
        <f t="shared" si="6"/>
        <v>1.3560282539618291</v>
      </c>
    </row>
    <row r="36" spans="1:32" x14ac:dyDescent="0.25">
      <c r="A36" s="4">
        <v>1710</v>
      </c>
      <c r="J36">
        <v>0.16</v>
      </c>
      <c r="L36">
        <v>0.45</v>
      </c>
      <c r="M36">
        <v>0.7</v>
      </c>
      <c r="N36">
        <f t="shared" si="10"/>
        <v>0.3238276427371532</v>
      </c>
      <c r="P36">
        <f t="shared" si="11"/>
        <v>0.91076524519824331</v>
      </c>
      <c r="Q36">
        <f t="shared" si="12"/>
        <v>1.416745936975045</v>
      </c>
      <c r="S36">
        <f t="shared" si="2"/>
        <v>0.3238276427371532</v>
      </c>
      <c r="T36">
        <f t="shared" si="3"/>
        <v>0.3238276427371532</v>
      </c>
      <c r="U36">
        <f t="shared" si="4"/>
        <v>0.3238276427371532</v>
      </c>
      <c r="V36">
        <f t="shared" si="5"/>
        <v>0.35418648424376131</v>
      </c>
      <c r="AC36">
        <f t="shared" si="7"/>
        <v>1.416745936975045</v>
      </c>
      <c r="AD36">
        <f t="shared" si="8"/>
        <v>1.416745936975045</v>
      </c>
      <c r="AE36">
        <f t="shared" si="9"/>
        <v>1.416745936975045</v>
      </c>
      <c r="AF36">
        <f t="shared" si="6"/>
        <v>1.3661478677973651</v>
      </c>
    </row>
    <row r="37" spans="1:32" x14ac:dyDescent="0.25">
      <c r="A37" s="4">
        <v>1711</v>
      </c>
      <c r="J37">
        <v>0.16</v>
      </c>
      <c r="L37">
        <v>0.45</v>
      </c>
      <c r="M37">
        <v>0.7</v>
      </c>
      <c r="N37">
        <f t="shared" si="10"/>
        <v>0.3238276427371532</v>
      </c>
      <c r="P37">
        <f t="shared" si="11"/>
        <v>0.91076524519824331</v>
      </c>
      <c r="Q37">
        <f t="shared" si="12"/>
        <v>1.416745936975045</v>
      </c>
      <c r="S37">
        <f t="shared" si="2"/>
        <v>0.3238276427371532</v>
      </c>
      <c r="T37">
        <f t="shared" si="3"/>
        <v>0.3238276427371532</v>
      </c>
      <c r="U37">
        <f t="shared" si="4"/>
        <v>0.3238276427371532</v>
      </c>
      <c r="V37">
        <f t="shared" si="5"/>
        <v>0.3481147159424397</v>
      </c>
      <c r="AC37">
        <f t="shared" si="7"/>
        <v>1.416745936975045</v>
      </c>
      <c r="AD37">
        <f t="shared" si="8"/>
        <v>1.416745936975045</v>
      </c>
      <c r="AE37">
        <f t="shared" si="9"/>
        <v>1.416745936975045</v>
      </c>
      <c r="AF37">
        <f t="shared" si="6"/>
        <v>1.376267481632901</v>
      </c>
    </row>
    <row r="38" spans="1:32" x14ac:dyDescent="0.25">
      <c r="A38" s="4">
        <v>1712</v>
      </c>
      <c r="J38">
        <v>0.16</v>
      </c>
      <c r="L38">
        <v>0.45</v>
      </c>
      <c r="M38">
        <v>0.7</v>
      </c>
      <c r="N38">
        <f t="shared" si="10"/>
        <v>0.3238276427371532</v>
      </c>
      <c r="P38">
        <f t="shared" si="11"/>
        <v>0.91076524519824331</v>
      </c>
      <c r="Q38">
        <f t="shared" si="12"/>
        <v>1.416745936975045</v>
      </c>
      <c r="S38">
        <f t="shared" si="2"/>
        <v>0.3238276427371532</v>
      </c>
      <c r="T38">
        <f t="shared" si="3"/>
        <v>0.3238276427371532</v>
      </c>
      <c r="U38">
        <f t="shared" si="4"/>
        <v>0.3238276427371532</v>
      </c>
      <c r="V38">
        <f t="shared" si="5"/>
        <v>0.34204294764111809</v>
      </c>
      <c r="AC38">
        <f t="shared" si="7"/>
        <v>1.416745936975045</v>
      </c>
      <c r="AD38">
        <f t="shared" si="8"/>
        <v>1.416745936975045</v>
      </c>
      <c r="AE38">
        <f t="shared" si="9"/>
        <v>1.416745936975045</v>
      </c>
      <c r="AF38">
        <f t="shared" si="6"/>
        <v>1.3863870954684372</v>
      </c>
    </row>
    <row r="39" spans="1:32" x14ac:dyDescent="0.25">
      <c r="A39" s="4">
        <v>1713</v>
      </c>
      <c r="J39">
        <v>0.16</v>
      </c>
      <c r="L39">
        <v>0.45</v>
      </c>
      <c r="M39">
        <v>0.7</v>
      </c>
      <c r="N39">
        <f t="shared" si="10"/>
        <v>0.3238276427371532</v>
      </c>
      <c r="P39">
        <f t="shared" si="11"/>
        <v>0.91076524519824331</v>
      </c>
      <c r="Q39">
        <f t="shared" si="12"/>
        <v>1.416745936975045</v>
      </c>
      <c r="S39">
        <f t="shared" si="2"/>
        <v>0.3238276427371532</v>
      </c>
      <c r="T39">
        <f t="shared" si="3"/>
        <v>0.3238276427371532</v>
      </c>
      <c r="U39">
        <f t="shared" si="4"/>
        <v>0.3238276427371532</v>
      </c>
      <c r="V39">
        <f t="shared" si="5"/>
        <v>0.33597117933979648</v>
      </c>
      <c r="AC39">
        <f t="shared" si="7"/>
        <v>1.416745936975045</v>
      </c>
      <c r="AD39">
        <f t="shared" si="8"/>
        <v>1.416745936975045</v>
      </c>
      <c r="AE39">
        <f t="shared" si="9"/>
        <v>1.416745936975045</v>
      </c>
      <c r="AF39">
        <f t="shared" si="6"/>
        <v>1.3965067093039731</v>
      </c>
    </row>
    <row r="40" spans="1:32" x14ac:dyDescent="0.25">
      <c r="A40" s="4">
        <v>1714</v>
      </c>
      <c r="J40">
        <v>0.16</v>
      </c>
      <c r="L40">
        <v>0.45</v>
      </c>
      <c r="M40">
        <v>0.7</v>
      </c>
      <c r="N40">
        <f t="shared" si="10"/>
        <v>0.3238276427371532</v>
      </c>
      <c r="P40">
        <f t="shared" si="11"/>
        <v>0.91076524519824331</v>
      </c>
      <c r="Q40">
        <f t="shared" si="12"/>
        <v>1.416745936975045</v>
      </c>
      <c r="S40">
        <f t="shared" si="2"/>
        <v>0.3238276427371532</v>
      </c>
      <c r="T40">
        <f t="shared" si="3"/>
        <v>0.3238276427371532</v>
      </c>
      <c r="U40">
        <f t="shared" si="4"/>
        <v>0.3238276427371532</v>
      </c>
      <c r="V40">
        <f t="shared" si="5"/>
        <v>0.32989941103847487</v>
      </c>
      <c r="AC40">
        <f t="shared" si="7"/>
        <v>1.416745936975045</v>
      </c>
      <c r="AD40">
        <f t="shared" si="8"/>
        <v>1.416745936975045</v>
      </c>
      <c r="AE40">
        <f t="shared" si="9"/>
        <v>1.416745936975045</v>
      </c>
      <c r="AF40">
        <f t="shared" si="6"/>
        <v>1.4066263231395093</v>
      </c>
    </row>
    <row r="41" spans="1:32" x14ac:dyDescent="0.25">
      <c r="A41" s="4">
        <v>1715</v>
      </c>
      <c r="J41">
        <v>0.16</v>
      </c>
      <c r="L41">
        <v>0.45</v>
      </c>
      <c r="M41">
        <v>0.7</v>
      </c>
      <c r="N41">
        <f t="shared" si="10"/>
        <v>0.3238276427371532</v>
      </c>
      <c r="P41">
        <f t="shared" si="11"/>
        <v>0.91076524519824331</v>
      </c>
      <c r="Q41">
        <f t="shared" si="12"/>
        <v>1.416745936975045</v>
      </c>
      <c r="S41">
        <f t="shared" si="2"/>
        <v>0.3238276427371532</v>
      </c>
      <c r="T41">
        <f t="shared" si="3"/>
        <v>0.3238276427371532</v>
      </c>
      <c r="U41">
        <f t="shared" si="4"/>
        <v>0.3238276427371532</v>
      </c>
      <c r="V41">
        <f t="shared" si="5"/>
        <v>0.32382764273715325</v>
      </c>
      <c r="AC41">
        <f t="shared" si="7"/>
        <v>1.416745936975045</v>
      </c>
      <c r="AD41">
        <f t="shared" si="8"/>
        <v>1.416745936975045</v>
      </c>
      <c r="AE41">
        <f t="shared" si="9"/>
        <v>1.416745936975045</v>
      </c>
      <c r="AF41">
        <f t="shared" si="6"/>
        <v>1.4167459369750453</v>
      </c>
    </row>
    <row r="42" spans="1:32" x14ac:dyDescent="0.25">
      <c r="A42" s="4">
        <v>1716</v>
      </c>
      <c r="J42">
        <v>0.16</v>
      </c>
      <c r="L42">
        <v>0.45</v>
      </c>
      <c r="M42">
        <v>0.7</v>
      </c>
      <c r="N42">
        <f t="shared" si="10"/>
        <v>0.3238276427371532</v>
      </c>
      <c r="P42">
        <f t="shared" si="11"/>
        <v>0.91076524519824331</v>
      </c>
      <c r="Q42">
        <f t="shared" si="12"/>
        <v>1.416745936975045</v>
      </c>
      <c r="S42">
        <f t="shared" si="2"/>
        <v>0.3238276427371532</v>
      </c>
      <c r="T42">
        <f t="shared" si="3"/>
        <v>0.3238276427371532</v>
      </c>
      <c r="U42">
        <f t="shared" si="4"/>
        <v>0.3238276427371532</v>
      </c>
      <c r="V42">
        <f t="shared" si="5"/>
        <v>0.31977979720293881</v>
      </c>
      <c r="AA42">
        <f t="shared" ref="AA42:AA72" si="13">AVERAGE(Z42,Z41,Z40,Z39,Z43,Z44,Z45,Z38,Z46,Z37)</f>
        <v>1.2548321156064686</v>
      </c>
      <c r="AC42">
        <f t="shared" si="7"/>
        <v>1.416745936975045</v>
      </c>
      <c r="AD42">
        <f t="shared" si="8"/>
        <v>1.416745936975045</v>
      </c>
      <c r="AE42">
        <f t="shared" si="9"/>
        <v>1.416745936975045</v>
      </c>
      <c r="AF42">
        <f t="shared" si="6"/>
        <v>1.4167459369750453</v>
      </c>
    </row>
    <row r="43" spans="1:32" x14ac:dyDescent="0.25">
      <c r="A43" s="4">
        <v>1717</v>
      </c>
      <c r="J43">
        <v>0.16</v>
      </c>
      <c r="L43">
        <v>0.45</v>
      </c>
      <c r="M43">
        <v>0.7</v>
      </c>
      <c r="N43">
        <f t="shared" si="10"/>
        <v>0.3238276427371532</v>
      </c>
      <c r="P43">
        <f t="shared" si="11"/>
        <v>0.91076524519824331</v>
      </c>
      <c r="Q43">
        <f t="shared" si="12"/>
        <v>1.416745936975045</v>
      </c>
      <c r="S43">
        <f t="shared" si="2"/>
        <v>0.3238276427371532</v>
      </c>
      <c r="T43">
        <f t="shared" si="3"/>
        <v>0.3238276427371532</v>
      </c>
      <c r="U43">
        <f t="shared" si="4"/>
        <v>0.3238276427371532</v>
      </c>
      <c r="V43">
        <f t="shared" si="5"/>
        <v>0.31573195166872436</v>
      </c>
      <c r="AA43">
        <f t="shared" si="13"/>
        <v>1.2548321156064686</v>
      </c>
      <c r="AC43">
        <f t="shared" si="7"/>
        <v>1.416745936975045</v>
      </c>
      <c r="AD43">
        <f t="shared" si="8"/>
        <v>1.416745936975045</v>
      </c>
      <c r="AE43">
        <f t="shared" si="9"/>
        <v>1.416745936975045</v>
      </c>
      <c r="AF43">
        <f t="shared" si="6"/>
        <v>1.4167459369750453</v>
      </c>
    </row>
    <row r="44" spans="1:32" x14ac:dyDescent="0.25">
      <c r="A44" s="4">
        <v>1718</v>
      </c>
      <c r="J44">
        <v>0.16</v>
      </c>
      <c r="L44">
        <v>0.45</v>
      </c>
      <c r="M44">
        <v>0.7</v>
      </c>
      <c r="N44">
        <f t="shared" si="10"/>
        <v>0.3238276427371532</v>
      </c>
      <c r="P44">
        <f t="shared" si="11"/>
        <v>0.91076524519824331</v>
      </c>
      <c r="Q44">
        <f t="shared" si="12"/>
        <v>1.416745936975045</v>
      </c>
      <c r="S44">
        <f t="shared" si="2"/>
        <v>0.3238276427371532</v>
      </c>
      <c r="T44">
        <f t="shared" si="3"/>
        <v>0.3238276427371532</v>
      </c>
      <c r="U44">
        <f t="shared" si="4"/>
        <v>0.3238276427371532</v>
      </c>
      <c r="V44">
        <f t="shared" si="5"/>
        <v>0.31168410613451003</v>
      </c>
      <c r="AA44">
        <f t="shared" si="13"/>
        <v>1.2548321156064686</v>
      </c>
      <c r="AC44">
        <f t="shared" si="7"/>
        <v>1.416745936975045</v>
      </c>
      <c r="AD44">
        <f t="shared" si="8"/>
        <v>1.416745936975045</v>
      </c>
      <c r="AE44">
        <f t="shared" si="9"/>
        <v>1.416745936975045</v>
      </c>
      <c r="AF44">
        <f t="shared" si="6"/>
        <v>1.4167459369750453</v>
      </c>
    </row>
    <row r="45" spans="1:32" x14ac:dyDescent="0.25">
      <c r="A45" s="4">
        <v>1719</v>
      </c>
      <c r="J45">
        <v>0.16</v>
      </c>
      <c r="L45">
        <v>0.45</v>
      </c>
      <c r="M45">
        <v>0.7</v>
      </c>
      <c r="N45">
        <f t="shared" si="10"/>
        <v>0.3238276427371532</v>
      </c>
      <c r="P45">
        <f t="shared" si="11"/>
        <v>0.91076524519824331</v>
      </c>
      <c r="Q45">
        <f t="shared" si="12"/>
        <v>1.416745936975045</v>
      </c>
      <c r="S45">
        <f t="shared" si="2"/>
        <v>0.3238276427371532</v>
      </c>
      <c r="T45">
        <f t="shared" si="3"/>
        <v>0.3238276427371532</v>
      </c>
      <c r="U45">
        <f t="shared" si="4"/>
        <v>0.3238276427371532</v>
      </c>
      <c r="V45">
        <f t="shared" si="5"/>
        <v>0.30763626060029559</v>
      </c>
      <c r="AA45">
        <f t="shared" si="13"/>
        <v>1.2548321156064686</v>
      </c>
      <c r="AC45">
        <f t="shared" si="7"/>
        <v>1.416745936975045</v>
      </c>
      <c r="AD45">
        <f t="shared" si="8"/>
        <v>1.416745936975045</v>
      </c>
      <c r="AE45">
        <f t="shared" si="9"/>
        <v>1.416745936975045</v>
      </c>
      <c r="AF45">
        <f t="shared" si="6"/>
        <v>1.4167459369750453</v>
      </c>
    </row>
    <row r="46" spans="1:32" x14ac:dyDescent="0.25">
      <c r="A46" s="4">
        <v>1720</v>
      </c>
      <c r="J46">
        <v>0.14000000000000001</v>
      </c>
      <c r="K46">
        <v>0.62</v>
      </c>
      <c r="L46">
        <v>0.45</v>
      </c>
      <c r="M46">
        <v>0.7</v>
      </c>
      <c r="N46">
        <f t="shared" si="10"/>
        <v>0.28334918739500903</v>
      </c>
      <c r="O46">
        <f t="shared" ref="O46:O90" si="14">K46/0.49409</f>
        <v>1.2548321156064686</v>
      </c>
      <c r="P46">
        <f t="shared" si="11"/>
        <v>0.91076524519824331</v>
      </c>
      <c r="Q46">
        <f t="shared" si="12"/>
        <v>1.416745936975045</v>
      </c>
      <c r="S46">
        <f t="shared" si="2"/>
        <v>0.28334918739500903</v>
      </c>
      <c r="T46">
        <f t="shared" si="3"/>
        <v>0.28334918739500903</v>
      </c>
      <c r="U46">
        <f t="shared" si="4"/>
        <v>0.28334918739500903</v>
      </c>
      <c r="V46">
        <f t="shared" si="5"/>
        <v>0.30358841506608114</v>
      </c>
      <c r="X46">
        <f t="shared" ref="X46:X77" si="15">MIN(G46,O46)</f>
        <v>1.2548321156064686</v>
      </c>
      <c r="Y46">
        <f t="shared" ref="Y46:Y77" si="16">MAX(O46,G46)</f>
        <v>1.2548321156064686</v>
      </c>
      <c r="Z46">
        <f t="shared" ref="Z46:Z77" si="17">AVERAGE(O46,G46)</f>
        <v>1.2548321156064686</v>
      </c>
      <c r="AA46">
        <f t="shared" si="13"/>
        <v>1.2548321156064686</v>
      </c>
      <c r="AC46">
        <f t="shared" si="7"/>
        <v>1.416745936975045</v>
      </c>
      <c r="AD46">
        <f t="shared" si="8"/>
        <v>1.416745936975045</v>
      </c>
      <c r="AE46">
        <f t="shared" si="9"/>
        <v>1.416745936975045</v>
      </c>
      <c r="AF46">
        <f t="shared" si="6"/>
        <v>1.4167459369750453</v>
      </c>
    </row>
    <row r="47" spans="1:32" x14ac:dyDescent="0.25">
      <c r="A47" s="4">
        <v>1721</v>
      </c>
      <c r="J47">
        <v>0.14000000000000001</v>
      </c>
      <c r="K47">
        <v>0.62</v>
      </c>
      <c r="L47">
        <v>0.45</v>
      </c>
      <c r="M47">
        <v>0.7</v>
      </c>
      <c r="N47">
        <f t="shared" si="10"/>
        <v>0.28334918739500903</v>
      </c>
      <c r="O47">
        <f t="shared" si="14"/>
        <v>1.2548321156064686</v>
      </c>
      <c r="P47">
        <f t="shared" si="11"/>
        <v>0.91076524519824331</v>
      </c>
      <c r="Q47">
        <f t="shared" si="12"/>
        <v>1.416745936975045</v>
      </c>
      <c r="S47">
        <f t="shared" si="2"/>
        <v>0.28334918739500903</v>
      </c>
      <c r="T47">
        <f t="shared" si="3"/>
        <v>0.28334918739500903</v>
      </c>
      <c r="U47">
        <f t="shared" si="4"/>
        <v>0.28334918739500903</v>
      </c>
      <c r="V47">
        <f t="shared" si="5"/>
        <v>0.29954056953186675</v>
      </c>
      <c r="X47">
        <f t="shared" si="15"/>
        <v>1.2548321156064686</v>
      </c>
      <c r="Y47">
        <f t="shared" si="16"/>
        <v>1.2548321156064686</v>
      </c>
      <c r="Z47">
        <f t="shared" si="17"/>
        <v>1.2548321156064686</v>
      </c>
      <c r="AA47">
        <f t="shared" si="13"/>
        <v>1.2548321156064686</v>
      </c>
      <c r="AC47">
        <f t="shared" si="7"/>
        <v>1.416745936975045</v>
      </c>
      <c r="AD47">
        <f t="shared" si="8"/>
        <v>1.416745936975045</v>
      </c>
      <c r="AE47">
        <f t="shared" si="9"/>
        <v>1.416745936975045</v>
      </c>
      <c r="AF47">
        <f t="shared" si="6"/>
        <v>1.4167459369750453</v>
      </c>
    </row>
    <row r="48" spans="1:32" x14ac:dyDescent="0.25">
      <c r="A48" s="4">
        <v>1722</v>
      </c>
      <c r="J48">
        <v>0.14000000000000001</v>
      </c>
      <c r="K48">
        <v>0.62</v>
      </c>
      <c r="L48">
        <v>0.45</v>
      </c>
      <c r="M48">
        <v>0.7</v>
      </c>
      <c r="N48">
        <f t="shared" si="10"/>
        <v>0.28334918739500903</v>
      </c>
      <c r="O48">
        <f t="shared" si="14"/>
        <v>1.2548321156064686</v>
      </c>
      <c r="P48">
        <f t="shared" si="11"/>
        <v>0.91076524519824331</v>
      </c>
      <c r="Q48">
        <f t="shared" si="12"/>
        <v>1.416745936975045</v>
      </c>
      <c r="S48">
        <f t="shared" si="2"/>
        <v>0.28334918739500903</v>
      </c>
      <c r="T48">
        <f t="shared" si="3"/>
        <v>0.28334918739500903</v>
      </c>
      <c r="U48">
        <f t="shared" si="4"/>
        <v>0.28334918739500903</v>
      </c>
      <c r="V48">
        <f t="shared" si="5"/>
        <v>0.29549272399765236</v>
      </c>
      <c r="X48">
        <f t="shared" si="15"/>
        <v>1.2548321156064686</v>
      </c>
      <c r="Y48">
        <f t="shared" si="16"/>
        <v>1.2548321156064686</v>
      </c>
      <c r="Z48">
        <f t="shared" si="17"/>
        <v>1.2548321156064686</v>
      </c>
      <c r="AA48">
        <f t="shared" si="13"/>
        <v>1.2548321156064686</v>
      </c>
      <c r="AC48">
        <f t="shared" si="7"/>
        <v>1.416745936975045</v>
      </c>
      <c r="AD48">
        <f t="shared" si="8"/>
        <v>1.416745936975045</v>
      </c>
      <c r="AE48">
        <f t="shared" si="9"/>
        <v>1.416745936975045</v>
      </c>
      <c r="AF48">
        <f t="shared" si="6"/>
        <v>1.4167459369750453</v>
      </c>
    </row>
    <row r="49" spans="1:32" x14ac:dyDescent="0.25">
      <c r="A49" s="4">
        <v>1723</v>
      </c>
      <c r="J49">
        <v>0.14000000000000001</v>
      </c>
      <c r="K49">
        <v>0.62</v>
      </c>
      <c r="L49">
        <v>0.45</v>
      </c>
      <c r="M49">
        <v>0.7</v>
      </c>
      <c r="N49">
        <f t="shared" si="10"/>
        <v>0.28334918739500903</v>
      </c>
      <c r="O49">
        <f t="shared" si="14"/>
        <v>1.2548321156064686</v>
      </c>
      <c r="P49">
        <f t="shared" si="11"/>
        <v>0.91076524519824331</v>
      </c>
      <c r="Q49">
        <f t="shared" si="12"/>
        <v>1.416745936975045</v>
      </c>
      <c r="S49">
        <f t="shared" si="2"/>
        <v>0.28334918739500903</v>
      </c>
      <c r="T49">
        <f t="shared" si="3"/>
        <v>0.28334918739500903</v>
      </c>
      <c r="U49">
        <f t="shared" si="4"/>
        <v>0.28334918739500903</v>
      </c>
      <c r="V49">
        <f t="shared" si="5"/>
        <v>0.29144487846343792</v>
      </c>
      <c r="X49">
        <f t="shared" si="15"/>
        <v>1.2548321156064686</v>
      </c>
      <c r="Y49">
        <f t="shared" si="16"/>
        <v>1.2548321156064686</v>
      </c>
      <c r="Z49">
        <f t="shared" si="17"/>
        <v>1.2548321156064686</v>
      </c>
      <c r="AA49">
        <f t="shared" si="13"/>
        <v>1.2548321156064686</v>
      </c>
      <c r="AC49">
        <f t="shared" si="7"/>
        <v>1.416745936975045</v>
      </c>
      <c r="AD49">
        <f t="shared" si="8"/>
        <v>1.416745936975045</v>
      </c>
      <c r="AE49">
        <f t="shared" si="9"/>
        <v>1.416745936975045</v>
      </c>
      <c r="AF49">
        <f t="shared" si="6"/>
        <v>1.4167459369750453</v>
      </c>
    </row>
    <row r="50" spans="1:32" x14ac:dyDescent="0.25">
      <c r="A50" s="4">
        <v>1724</v>
      </c>
      <c r="J50">
        <v>0.14000000000000001</v>
      </c>
      <c r="K50">
        <v>0.62</v>
      </c>
      <c r="L50">
        <v>0.45</v>
      </c>
      <c r="M50">
        <v>0.7</v>
      </c>
      <c r="N50">
        <f t="shared" si="10"/>
        <v>0.28334918739500903</v>
      </c>
      <c r="O50">
        <f t="shared" si="14"/>
        <v>1.2548321156064686</v>
      </c>
      <c r="P50">
        <f t="shared" si="11"/>
        <v>0.91076524519824331</v>
      </c>
      <c r="Q50">
        <f t="shared" si="12"/>
        <v>1.416745936975045</v>
      </c>
      <c r="S50">
        <f t="shared" si="2"/>
        <v>0.28334918739500903</v>
      </c>
      <c r="T50">
        <f t="shared" si="3"/>
        <v>0.28334918739500903</v>
      </c>
      <c r="U50">
        <f t="shared" si="4"/>
        <v>0.28334918739500903</v>
      </c>
      <c r="V50">
        <f t="shared" si="5"/>
        <v>0.28739703292922353</v>
      </c>
      <c r="X50">
        <f t="shared" si="15"/>
        <v>1.2548321156064686</v>
      </c>
      <c r="Y50">
        <f t="shared" si="16"/>
        <v>1.2548321156064686</v>
      </c>
      <c r="Z50">
        <f t="shared" si="17"/>
        <v>1.2548321156064686</v>
      </c>
      <c r="AA50">
        <f t="shared" si="13"/>
        <v>1.2548321156064686</v>
      </c>
      <c r="AC50">
        <f t="shared" si="7"/>
        <v>1.416745936975045</v>
      </c>
      <c r="AD50">
        <f t="shared" si="8"/>
        <v>1.416745936975045</v>
      </c>
      <c r="AE50">
        <f t="shared" si="9"/>
        <v>1.416745936975045</v>
      </c>
      <c r="AF50">
        <f t="shared" si="6"/>
        <v>1.4167459369750453</v>
      </c>
    </row>
    <row r="51" spans="1:32" x14ac:dyDescent="0.25">
      <c r="A51" s="4">
        <v>1725</v>
      </c>
      <c r="J51">
        <v>0.14000000000000001</v>
      </c>
      <c r="K51">
        <v>0.62</v>
      </c>
      <c r="L51">
        <v>0.45</v>
      </c>
      <c r="M51">
        <v>0.7</v>
      </c>
      <c r="N51">
        <f t="shared" si="10"/>
        <v>0.28334918739500903</v>
      </c>
      <c r="O51">
        <f t="shared" si="14"/>
        <v>1.2548321156064686</v>
      </c>
      <c r="P51">
        <f t="shared" si="11"/>
        <v>0.91076524519824331</v>
      </c>
      <c r="Q51">
        <f t="shared" si="12"/>
        <v>1.416745936975045</v>
      </c>
      <c r="S51">
        <f t="shared" si="2"/>
        <v>0.28334918739500903</v>
      </c>
      <c r="T51">
        <f t="shared" si="3"/>
        <v>0.28334918739500903</v>
      </c>
      <c r="U51">
        <f t="shared" si="4"/>
        <v>0.28334918739500903</v>
      </c>
      <c r="V51">
        <f t="shared" si="5"/>
        <v>0.28334918739500908</v>
      </c>
      <c r="X51">
        <f t="shared" si="15"/>
        <v>1.2548321156064686</v>
      </c>
      <c r="Y51">
        <f t="shared" si="16"/>
        <v>1.2548321156064686</v>
      </c>
      <c r="Z51">
        <f t="shared" si="17"/>
        <v>1.2548321156064686</v>
      </c>
      <c r="AA51">
        <f t="shared" si="13"/>
        <v>1.2548321156064686</v>
      </c>
      <c r="AC51">
        <f t="shared" si="7"/>
        <v>1.416745936975045</v>
      </c>
      <c r="AD51">
        <f t="shared" si="8"/>
        <v>1.416745936975045</v>
      </c>
      <c r="AE51">
        <f t="shared" si="9"/>
        <v>1.416745936975045</v>
      </c>
      <c r="AF51">
        <f t="shared" si="6"/>
        <v>1.4167459369750453</v>
      </c>
    </row>
    <row r="52" spans="1:32" x14ac:dyDescent="0.25">
      <c r="A52" s="4">
        <v>1726</v>
      </c>
      <c r="J52">
        <v>0.14000000000000001</v>
      </c>
      <c r="K52">
        <v>0.62</v>
      </c>
      <c r="L52">
        <v>0.45</v>
      </c>
      <c r="M52">
        <v>0.7</v>
      </c>
      <c r="N52">
        <f t="shared" si="10"/>
        <v>0.28334918739500903</v>
      </c>
      <c r="O52">
        <f t="shared" si="14"/>
        <v>1.2548321156064686</v>
      </c>
      <c r="P52">
        <f t="shared" si="11"/>
        <v>0.91076524519824331</v>
      </c>
      <c r="Q52">
        <f t="shared" si="12"/>
        <v>1.416745936975045</v>
      </c>
      <c r="S52">
        <f t="shared" si="2"/>
        <v>0.28334918739500903</v>
      </c>
      <c r="T52">
        <f t="shared" si="3"/>
        <v>0.28334918739500903</v>
      </c>
      <c r="U52">
        <f t="shared" si="4"/>
        <v>0.28334918739500903</v>
      </c>
      <c r="V52">
        <f t="shared" si="5"/>
        <v>0.27727741909368742</v>
      </c>
      <c r="X52">
        <f t="shared" si="15"/>
        <v>1.2548321156064686</v>
      </c>
      <c r="Y52">
        <f t="shared" si="16"/>
        <v>1.2548321156064686</v>
      </c>
      <c r="Z52">
        <f t="shared" si="17"/>
        <v>1.2548321156064686</v>
      </c>
      <c r="AA52">
        <f t="shared" si="13"/>
        <v>1.2548321156064686</v>
      </c>
      <c r="AC52">
        <f t="shared" si="7"/>
        <v>1.416745936975045</v>
      </c>
      <c r="AD52">
        <f t="shared" si="8"/>
        <v>1.416745936975045</v>
      </c>
      <c r="AE52">
        <f t="shared" si="9"/>
        <v>1.416745936975045</v>
      </c>
      <c r="AF52">
        <f t="shared" si="6"/>
        <v>1.4268655508105812</v>
      </c>
    </row>
    <row r="53" spans="1:32" x14ac:dyDescent="0.25">
      <c r="A53" s="4">
        <v>1727</v>
      </c>
      <c r="J53">
        <v>0.14000000000000001</v>
      </c>
      <c r="K53">
        <v>0.62</v>
      </c>
      <c r="L53">
        <v>0.45</v>
      </c>
      <c r="M53">
        <v>0.7</v>
      </c>
      <c r="N53">
        <f t="shared" si="10"/>
        <v>0.28334918739500903</v>
      </c>
      <c r="O53">
        <f t="shared" si="14"/>
        <v>1.2548321156064686</v>
      </c>
      <c r="P53">
        <f t="shared" si="11"/>
        <v>0.91076524519824331</v>
      </c>
      <c r="Q53">
        <f t="shared" si="12"/>
        <v>1.416745936975045</v>
      </c>
      <c r="S53">
        <f t="shared" si="2"/>
        <v>0.28334918739500903</v>
      </c>
      <c r="T53">
        <f t="shared" si="3"/>
        <v>0.28334918739500903</v>
      </c>
      <c r="U53">
        <f t="shared" si="4"/>
        <v>0.28334918739500903</v>
      </c>
      <c r="V53">
        <f t="shared" si="5"/>
        <v>0.2712056507923658</v>
      </c>
      <c r="X53">
        <f t="shared" si="15"/>
        <v>1.2548321156064686</v>
      </c>
      <c r="Y53">
        <f t="shared" si="16"/>
        <v>1.2548321156064686</v>
      </c>
      <c r="Z53">
        <f t="shared" si="17"/>
        <v>1.2548321156064686</v>
      </c>
      <c r="AA53">
        <f t="shared" si="13"/>
        <v>1.2548321156064686</v>
      </c>
      <c r="AC53">
        <f t="shared" si="7"/>
        <v>1.416745936975045</v>
      </c>
      <c r="AD53">
        <f t="shared" si="8"/>
        <v>1.416745936975045</v>
      </c>
      <c r="AE53">
        <f t="shared" si="9"/>
        <v>1.416745936975045</v>
      </c>
      <c r="AF53">
        <f t="shared" si="6"/>
        <v>1.4369851646461171</v>
      </c>
    </row>
    <row r="54" spans="1:32" x14ac:dyDescent="0.25">
      <c r="A54" s="4">
        <v>1728</v>
      </c>
      <c r="J54">
        <v>0.14000000000000001</v>
      </c>
      <c r="K54">
        <v>0.62</v>
      </c>
      <c r="L54">
        <v>0.45</v>
      </c>
      <c r="M54">
        <v>0.7</v>
      </c>
      <c r="N54">
        <f t="shared" si="10"/>
        <v>0.28334918739500903</v>
      </c>
      <c r="O54">
        <f t="shared" si="14"/>
        <v>1.2548321156064686</v>
      </c>
      <c r="P54">
        <f t="shared" si="11"/>
        <v>0.91076524519824331</v>
      </c>
      <c r="Q54">
        <f t="shared" si="12"/>
        <v>1.416745936975045</v>
      </c>
      <c r="S54">
        <f t="shared" si="2"/>
        <v>0.28334918739500903</v>
      </c>
      <c r="T54">
        <f t="shared" si="3"/>
        <v>0.28334918739500903</v>
      </c>
      <c r="U54">
        <f t="shared" si="4"/>
        <v>0.28334918739500903</v>
      </c>
      <c r="V54">
        <f t="shared" si="5"/>
        <v>0.26513388249104419</v>
      </c>
      <c r="X54">
        <f t="shared" si="15"/>
        <v>1.2548321156064686</v>
      </c>
      <c r="Y54">
        <f t="shared" si="16"/>
        <v>1.2548321156064686</v>
      </c>
      <c r="Z54">
        <f t="shared" si="17"/>
        <v>1.2548321156064686</v>
      </c>
      <c r="AA54">
        <f t="shared" si="13"/>
        <v>1.2548321156064686</v>
      </c>
      <c r="AC54">
        <f t="shared" si="7"/>
        <v>1.416745936975045</v>
      </c>
      <c r="AD54">
        <f t="shared" si="8"/>
        <v>1.416745936975045</v>
      </c>
      <c r="AE54">
        <f t="shared" si="9"/>
        <v>1.416745936975045</v>
      </c>
      <c r="AF54">
        <f t="shared" si="6"/>
        <v>1.4471047784816531</v>
      </c>
    </row>
    <row r="55" spans="1:32" x14ac:dyDescent="0.25">
      <c r="A55" s="4">
        <v>1729</v>
      </c>
      <c r="J55">
        <v>0.14000000000000001</v>
      </c>
      <c r="K55">
        <v>0.62</v>
      </c>
      <c r="L55">
        <v>0.45</v>
      </c>
      <c r="M55">
        <v>0.7</v>
      </c>
      <c r="N55">
        <f t="shared" si="10"/>
        <v>0.28334918739500903</v>
      </c>
      <c r="O55">
        <f t="shared" si="14"/>
        <v>1.2548321156064686</v>
      </c>
      <c r="P55">
        <f t="shared" si="11"/>
        <v>0.91076524519824331</v>
      </c>
      <c r="Q55">
        <f t="shared" si="12"/>
        <v>1.416745936975045</v>
      </c>
      <c r="S55">
        <f t="shared" si="2"/>
        <v>0.28334918739500903</v>
      </c>
      <c r="T55">
        <f t="shared" si="3"/>
        <v>0.28334918739500903</v>
      </c>
      <c r="U55">
        <f t="shared" si="4"/>
        <v>0.28334918739500903</v>
      </c>
      <c r="V55">
        <f t="shared" si="5"/>
        <v>0.25906211418972253</v>
      </c>
      <c r="X55">
        <f t="shared" si="15"/>
        <v>1.2548321156064686</v>
      </c>
      <c r="Y55">
        <f t="shared" si="16"/>
        <v>1.2548321156064686</v>
      </c>
      <c r="Z55">
        <f t="shared" si="17"/>
        <v>1.2548321156064686</v>
      </c>
      <c r="AA55">
        <f t="shared" si="13"/>
        <v>1.2548321156064686</v>
      </c>
      <c r="AC55">
        <f t="shared" si="7"/>
        <v>1.416745936975045</v>
      </c>
      <c r="AD55">
        <f t="shared" si="8"/>
        <v>1.416745936975045</v>
      </c>
      <c r="AE55">
        <f t="shared" si="9"/>
        <v>1.416745936975045</v>
      </c>
      <c r="AF55">
        <f t="shared" si="6"/>
        <v>1.457224392317189</v>
      </c>
    </row>
    <row r="56" spans="1:32" x14ac:dyDescent="0.25">
      <c r="A56" s="4">
        <v>1730</v>
      </c>
      <c r="J56">
        <v>0.11</v>
      </c>
      <c r="K56">
        <v>0.62</v>
      </c>
      <c r="L56">
        <v>0.5</v>
      </c>
      <c r="M56">
        <v>0.75</v>
      </c>
      <c r="N56">
        <f t="shared" si="10"/>
        <v>0.2226315043817928</v>
      </c>
      <c r="O56">
        <f t="shared" si="14"/>
        <v>1.2548321156064686</v>
      </c>
      <c r="P56">
        <f t="shared" si="11"/>
        <v>1.0119613835536037</v>
      </c>
      <c r="Q56">
        <f t="shared" si="12"/>
        <v>1.5179420753304054</v>
      </c>
      <c r="S56">
        <f t="shared" si="2"/>
        <v>0.2226315043817928</v>
      </c>
      <c r="T56">
        <f t="shared" si="3"/>
        <v>0.2226315043817928</v>
      </c>
      <c r="U56">
        <f t="shared" si="4"/>
        <v>0.2226315043817928</v>
      </c>
      <c r="V56">
        <f t="shared" si="5"/>
        <v>0.25299034588840091</v>
      </c>
      <c r="X56">
        <f t="shared" si="15"/>
        <v>1.2548321156064686</v>
      </c>
      <c r="Y56">
        <f t="shared" si="16"/>
        <v>1.2548321156064686</v>
      </c>
      <c r="Z56">
        <f t="shared" si="17"/>
        <v>1.2548321156064686</v>
      </c>
      <c r="AA56">
        <f t="shared" si="13"/>
        <v>1.2548321156064686</v>
      </c>
      <c r="AC56">
        <f t="shared" si="7"/>
        <v>1.5179420753304054</v>
      </c>
      <c r="AD56">
        <f t="shared" si="8"/>
        <v>1.5179420753304054</v>
      </c>
      <c r="AE56">
        <f t="shared" si="9"/>
        <v>1.5179420753304054</v>
      </c>
      <c r="AF56">
        <f t="shared" si="6"/>
        <v>1.4673440061527252</v>
      </c>
    </row>
    <row r="57" spans="1:32" x14ac:dyDescent="0.25">
      <c r="A57" s="4">
        <v>1731</v>
      </c>
      <c r="J57">
        <v>0.11</v>
      </c>
      <c r="K57">
        <v>0.62</v>
      </c>
      <c r="L57">
        <v>0.5</v>
      </c>
      <c r="M57">
        <v>0.75</v>
      </c>
      <c r="N57">
        <f t="shared" si="10"/>
        <v>0.2226315043817928</v>
      </c>
      <c r="O57">
        <f t="shared" si="14"/>
        <v>1.2548321156064686</v>
      </c>
      <c r="P57">
        <f t="shared" si="11"/>
        <v>1.0119613835536037</v>
      </c>
      <c r="Q57">
        <f t="shared" si="12"/>
        <v>1.5179420753304054</v>
      </c>
      <c r="S57">
        <f t="shared" si="2"/>
        <v>0.2226315043817928</v>
      </c>
      <c r="T57">
        <f t="shared" si="3"/>
        <v>0.2226315043817928</v>
      </c>
      <c r="U57">
        <f t="shared" si="4"/>
        <v>0.2226315043817928</v>
      </c>
      <c r="V57">
        <f t="shared" si="5"/>
        <v>0.2469185775870793</v>
      </c>
      <c r="X57">
        <f t="shared" si="15"/>
        <v>1.2548321156064686</v>
      </c>
      <c r="Y57">
        <f t="shared" si="16"/>
        <v>1.2548321156064686</v>
      </c>
      <c r="Z57">
        <f t="shared" si="17"/>
        <v>1.2548321156064686</v>
      </c>
      <c r="AA57">
        <f t="shared" si="13"/>
        <v>1.2548321156064686</v>
      </c>
      <c r="AC57">
        <f t="shared" si="7"/>
        <v>1.5179420753304054</v>
      </c>
      <c r="AD57">
        <f t="shared" si="8"/>
        <v>1.5179420753304054</v>
      </c>
      <c r="AE57">
        <f t="shared" si="9"/>
        <v>1.5179420753304054</v>
      </c>
      <c r="AF57">
        <f t="shared" si="6"/>
        <v>1.4774636199882614</v>
      </c>
    </row>
    <row r="58" spans="1:32" x14ac:dyDescent="0.25">
      <c r="A58" s="4">
        <v>1732</v>
      </c>
      <c r="J58">
        <v>0.11</v>
      </c>
      <c r="K58">
        <v>0.62</v>
      </c>
      <c r="L58">
        <v>0.5</v>
      </c>
      <c r="M58">
        <v>0.75</v>
      </c>
      <c r="N58">
        <f t="shared" si="10"/>
        <v>0.2226315043817928</v>
      </c>
      <c r="O58">
        <f t="shared" si="14"/>
        <v>1.2548321156064686</v>
      </c>
      <c r="P58">
        <f t="shared" si="11"/>
        <v>1.0119613835536037</v>
      </c>
      <c r="Q58">
        <f t="shared" si="12"/>
        <v>1.5179420753304054</v>
      </c>
      <c r="S58">
        <f t="shared" si="2"/>
        <v>0.2226315043817928</v>
      </c>
      <c r="T58">
        <f t="shared" si="3"/>
        <v>0.2226315043817928</v>
      </c>
      <c r="U58">
        <f t="shared" si="4"/>
        <v>0.2226315043817928</v>
      </c>
      <c r="V58">
        <f t="shared" si="5"/>
        <v>0.24084680928575769</v>
      </c>
      <c r="X58">
        <f t="shared" si="15"/>
        <v>1.2548321156064686</v>
      </c>
      <c r="Y58">
        <f t="shared" si="16"/>
        <v>1.2548321156064686</v>
      </c>
      <c r="Z58">
        <f t="shared" si="17"/>
        <v>1.2548321156064686</v>
      </c>
      <c r="AA58">
        <f t="shared" si="13"/>
        <v>1.2548321156064686</v>
      </c>
      <c r="AC58">
        <f t="shared" si="7"/>
        <v>1.5179420753304054</v>
      </c>
      <c r="AD58">
        <f t="shared" si="8"/>
        <v>1.5179420753304054</v>
      </c>
      <c r="AE58">
        <f t="shared" si="9"/>
        <v>1.5179420753304054</v>
      </c>
      <c r="AF58">
        <f t="shared" si="6"/>
        <v>1.4875832338237971</v>
      </c>
    </row>
    <row r="59" spans="1:32" x14ac:dyDescent="0.25">
      <c r="A59" s="4">
        <v>1733</v>
      </c>
      <c r="J59">
        <v>0.11</v>
      </c>
      <c r="K59">
        <v>0.62</v>
      </c>
      <c r="L59">
        <v>0.5</v>
      </c>
      <c r="M59">
        <v>0.75</v>
      </c>
      <c r="N59">
        <f t="shared" si="10"/>
        <v>0.2226315043817928</v>
      </c>
      <c r="O59">
        <f t="shared" si="14"/>
        <v>1.2548321156064686</v>
      </c>
      <c r="P59">
        <f t="shared" si="11"/>
        <v>1.0119613835536037</v>
      </c>
      <c r="Q59">
        <f t="shared" si="12"/>
        <v>1.5179420753304054</v>
      </c>
      <c r="S59">
        <f t="shared" si="2"/>
        <v>0.2226315043817928</v>
      </c>
      <c r="T59">
        <f t="shared" si="3"/>
        <v>0.2226315043817928</v>
      </c>
      <c r="U59">
        <f t="shared" si="4"/>
        <v>0.2226315043817928</v>
      </c>
      <c r="V59">
        <f t="shared" si="5"/>
        <v>0.23477504098443608</v>
      </c>
      <c r="X59">
        <f t="shared" si="15"/>
        <v>1.2548321156064686</v>
      </c>
      <c r="Y59">
        <f t="shared" si="16"/>
        <v>1.2548321156064686</v>
      </c>
      <c r="Z59">
        <f t="shared" si="17"/>
        <v>1.2548321156064686</v>
      </c>
      <c r="AA59">
        <f t="shared" si="13"/>
        <v>1.2548321156064686</v>
      </c>
      <c r="AC59">
        <f t="shared" si="7"/>
        <v>1.5179420753304054</v>
      </c>
      <c r="AD59">
        <f t="shared" si="8"/>
        <v>1.5179420753304054</v>
      </c>
      <c r="AE59">
        <f t="shared" si="9"/>
        <v>1.5179420753304054</v>
      </c>
      <c r="AF59">
        <f t="shared" si="6"/>
        <v>1.4977028476593333</v>
      </c>
    </row>
    <row r="60" spans="1:32" x14ac:dyDescent="0.25">
      <c r="A60" s="4">
        <v>1734</v>
      </c>
      <c r="J60">
        <v>0.11</v>
      </c>
      <c r="K60">
        <v>0.62</v>
      </c>
      <c r="L60">
        <v>0.5</v>
      </c>
      <c r="M60">
        <v>0.75</v>
      </c>
      <c r="N60">
        <f t="shared" si="10"/>
        <v>0.2226315043817928</v>
      </c>
      <c r="O60">
        <f t="shared" si="14"/>
        <v>1.2548321156064686</v>
      </c>
      <c r="P60">
        <f t="shared" si="11"/>
        <v>1.0119613835536037</v>
      </c>
      <c r="Q60">
        <f t="shared" si="12"/>
        <v>1.5179420753304054</v>
      </c>
      <c r="S60">
        <f t="shared" si="2"/>
        <v>0.2226315043817928</v>
      </c>
      <c r="T60">
        <f t="shared" si="3"/>
        <v>0.2226315043817928</v>
      </c>
      <c r="U60">
        <f t="shared" si="4"/>
        <v>0.2226315043817928</v>
      </c>
      <c r="V60">
        <f t="shared" si="5"/>
        <v>0.22870327268311447</v>
      </c>
      <c r="X60">
        <f t="shared" si="15"/>
        <v>1.2548321156064686</v>
      </c>
      <c r="Y60">
        <f t="shared" si="16"/>
        <v>1.2548321156064686</v>
      </c>
      <c r="Z60">
        <f t="shared" si="17"/>
        <v>1.2548321156064686</v>
      </c>
      <c r="AA60">
        <f t="shared" si="13"/>
        <v>1.2548321156064686</v>
      </c>
      <c r="AC60">
        <f t="shared" si="7"/>
        <v>1.5179420753304054</v>
      </c>
      <c r="AD60">
        <f t="shared" si="8"/>
        <v>1.5179420753304054</v>
      </c>
      <c r="AE60">
        <f t="shared" si="9"/>
        <v>1.5179420753304054</v>
      </c>
      <c r="AF60">
        <f t="shared" si="6"/>
        <v>1.5078224614948692</v>
      </c>
    </row>
    <row r="61" spans="1:32" x14ac:dyDescent="0.25">
      <c r="A61" s="4">
        <v>1735</v>
      </c>
      <c r="J61">
        <v>0.11</v>
      </c>
      <c r="K61">
        <v>0.62</v>
      </c>
      <c r="L61">
        <v>0.5</v>
      </c>
      <c r="M61">
        <v>0.75</v>
      </c>
      <c r="N61">
        <f t="shared" si="10"/>
        <v>0.2226315043817928</v>
      </c>
      <c r="O61">
        <f t="shared" si="14"/>
        <v>1.2548321156064686</v>
      </c>
      <c r="P61">
        <f t="shared" si="11"/>
        <v>1.0119613835536037</v>
      </c>
      <c r="Q61">
        <f t="shared" si="12"/>
        <v>1.5179420753304054</v>
      </c>
      <c r="S61">
        <f t="shared" si="2"/>
        <v>0.2226315043817928</v>
      </c>
      <c r="T61">
        <f t="shared" si="3"/>
        <v>0.2226315043817928</v>
      </c>
      <c r="U61">
        <f t="shared" si="4"/>
        <v>0.2226315043817928</v>
      </c>
      <c r="V61">
        <f t="shared" si="5"/>
        <v>0.22263150438179286</v>
      </c>
      <c r="X61">
        <f t="shared" si="15"/>
        <v>1.2548321156064686</v>
      </c>
      <c r="Y61">
        <f t="shared" si="16"/>
        <v>1.2548321156064686</v>
      </c>
      <c r="Z61">
        <f t="shared" si="17"/>
        <v>1.2548321156064686</v>
      </c>
      <c r="AA61">
        <f t="shared" si="13"/>
        <v>1.2548321156064686</v>
      </c>
      <c r="AC61">
        <f t="shared" si="7"/>
        <v>1.5179420753304054</v>
      </c>
      <c r="AD61">
        <f t="shared" si="8"/>
        <v>1.5179420753304054</v>
      </c>
      <c r="AE61">
        <f t="shared" si="9"/>
        <v>1.5179420753304054</v>
      </c>
      <c r="AF61">
        <f t="shared" si="6"/>
        <v>1.5179420753304051</v>
      </c>
    </row>
    <row r="62" spans="1:32" x14ac:dyDescent="0.25">
      <c r="A62" s="4">
        <v>1736</v>
      </c>
      <c r="J62">
        <v>0.11</v>
      </c>
      <c r="K62">
        <v>0.62</v>
      </c>
      <c r="L62">
        <v>0.5</v>
      </c>
      <c r="M62">
        <v>0.75</v>
      </c>
      <c r="N62">
        <f t="shared" si="10"/>
        <v>0.2226315043817928</v>
      </c>
      <c r="O62">
        <f t="shared" si="14"/>
        <v>1.2548321156064686</v>
      </c>
      <c r="P62">
        <f t="shared" si="11"/>
        <v>1.0119613835536037</v>
      </c>
      <c r="Q62">
        <f t="shared" si="12"/>
        <v>1.5179420753304054</v>
      </c>
      <c r="S62">
        <f t="shared" si="2"/>
        <v>0.2226315043817928</v>
      </c>
      <c r="T62">
        <f t="shared" si="3"/>
        <v>0.2226315043817928</v>
      </c>
      <c r="U62">
        <f t="shared" si="4"/>
        <v>0.2226315043817928</v>
      </c>
      <c r="V62">
        <f t="shared" si="5"/>
        <v>0.23679896375154322</v>
      </c>
      <c r="X62">
        <f t="shared" si="15"/>
        <v>1.2548321156064686</v>
      </c>
      <c r="Y62">
        <f t="shared" si="16"/>
        <v>1.2548321156064686</v>
      </c>
      <c r="Z62">
        <f t="shared" si="17"/>
        <v>1.2548321156064686</v>
      </c>
      <c r="AA62">
        <f t="shared" si="13"/>
        <v>1.219946973223502</v>
      </c>
      <c r="AC62">
        <f t="shared" si="7"/>
        <v>1.5179420753304054</v>
      </c>
      <c r="AD62">
        <f t="shared" si="8"/>
        <v>1.5179420753304054</v>
      </c>
      <c r="AE62">
        <f t="shared" si="9"/>
        <v>1.5179420753304054</v>
      </c>
      <c r="AF62">
        <f t="shared" si="6"/>
        <v>1.5179420753304051</v>
      </c>
    </row>
    <row r="63" spans="1:32" x14ac:dyDescent="0.25">
      <c r="A63" s="4">
        <v>1737</v>
      </c>
      <c r="J63">
        <v>0.11</v>
      </c>
      <c r="K63">
        <v>0.62</v>
      </c>
      <c r="L63">
        <v>0.5</v>
      </c>
      <c r="M63">
        <v>0.75</v>
      </c>
      <c r="N63">
        <f t="shared" si="10"/>
        <v>0.2226315043817928</v>
      </c>
      <c r="O63">
        <f t="shared" si="14"/>
        <v>1.2548321156064686</v>
      </c>
      <c r="P63">
        <f t="shared" si="11"/>
        <v>1.0119613835536037</v>
      </c>
      <c r="Q63">
        <f t="shared" si="12"/>
        <v>1.5179420753304054</v>
      </c>
      <c r="S63">
        <f t="shared" si="2"/>
        <v>0.2226315043817928</v>
      </c>
      <c r="T63">
        <f t="shared" si="3"/>
        <v>0.2226315043817928</v>
      </c>
      <c r="U63">
        <f t="shared" si="4"/>
        <v>0.2226315043817928</v>
      </c>
      <c r="V63">
        <f t="shared" si="5"/>
        <v>0.24875111821732884</v>
      </c>
      <c r="X63">
        <f t="shared" si="15"/>
        <v>1.2548321156064686</v>
      </c>
      <c r="Y63">
        <f t="shared" si="16"/>
        <v>1.2548321156064686</v>
      </c>
      <c r="Z63">
        <f t="shared" si="17"/>
        <v>1.2548321156064686</v>
      </c>
      <c r="AA63">
        <f t="shared" si="13"/>
        <v>1.1810618308405352</v>
      </c>
      <c r="AC63">
        <f t="shared" si="7"/>
        <v>1.5179420753304054</v>
      </c>
      <c r="AD63">
        <f t="shared" si="8"/>
        <v>1.5179420753304054</v>
      </c>
      <c r="AE63">
        <f t="shared" si="9"/>
        <v>1.5179420753304054</v>
      </c>
      <c r="AF63">
        <f t="shared" si="6"/>
        <v>1.5179420753304051</v>
      </c>
    </row>
    <row r="64" spans="1:32" x14ac:dyDescent="0.25">
      <c r="A64" s="4">
        <v>1738</v>
      </c>
      <c r="J64">
        <v>0.11</v>
      </c>
      <c r="K64">
        <v>0.62</v>
      </c>
      <c r="L64">
        <v>0.5</v>
      </c>
      <c r="M64">
        <v>0.75</v>
      </c>
      <c r="N64">
        <f t="shared" si="10"/>
        <v>0.2226315043817928</v>
      </c>
      <c r="O64">
        <f t="shared" si="14"/>
        <v>1.2548321156064686</v>
      </c>
      <c r="P64">
        <f t="shared" si="11"/>
        <v>1.0119613835536037</v>
      </c>
      <c r="Q64">
        <f t="shared" si="12"/>
        <v>1.5179420753304054</v>
      </c>
      <c r="S64">
        <f t="shared" si="2"/>
        <v>0.2226315043817928</v>
      </c>
      <c r="T64">
        <f t="shared" si="3"/>
        <v>0.2226315043817928</v>
      </c>
      <c r="U64">
        <f t="shared" si="4"/>
        <v>0.2226315043817928</v>
      </c>
      <c r="V64">
        <f t="shared" si="5"/>
        <v>0.25870327268311444</v>
      </c>
      <c r="X64">
        <f t="shared" si="15"/>
        <v>1.2548321156064686</v>
      </c>
      <c r="Y64">
        <f t="shared" si="16"/>
        <v>1.2548321156064686</v>
      </c>
      <c r="Z64">
        <f t="shared" si="17"/>
        <v>1.2548321156064686</v>
      </c>
      <c r="AA64">
        <f t="shared" si="13"/>
        <v>1.1421766884575686</v>
      </c>
      <c r="AC64">
        <f t="shared" si="7"/>
        <v>1.5179420753304054</v>
      </c>
      <c r="AD64">
        <f t="shared" si="8"/>
        <v>1.5179420753304054</v>
      </c>
      <c r="AE64">
        <f t="shared" si="9"/>
        <v>1.5179420753304054</v>
      </c>
      <c r="AF64">
        <f t="shared" si="6"/>
        <v>1.5179420753304051</v>
      </c>
    </row>
    <row r="65" spans="1:32" x14ac:dyDescent="0.25">
      <c r="A65" s="4">
        <v>1739</v>
      </c>
      <c r="J65">
        <v>0.11</v>
      </c>
      <c r="K65">
        <v>0.62</v>
      </c>
      <c r="L65">
        <v>0.5</v>
      </c>
      <c r="M65">
        <v>0.75</v>
      </c>
      <c r="N65">
        <f t="shared" si="10"/>
        <v>0.2226315043817928</v>
      </c>
      <c r="O65">
        <f t="shared" si="14"/>
        <v>1.2548321156064686</v>
      </c>
      <c r="P65">
        <f t="shared" si="11"/>
        <v>1.0119613835536037</v>
      </c>
      <c r="Q65">
        <f t="shared" si="12"/>
        <v>1.5179420753304054</v>
      </c>
      <c r="S65">
        <f t="shared" si="2"/>
        <v>0.2226315043817928</v>
      </c>
      <c r="T65">
        <f t="shared" si="3"/>
        <v>0.2226315043817928</v>
      </c>
      <c r="U65">
        <f t="shared" si="4"/>
        <v>0.2226315043817928</v>
      </c>
      <c r="V65">
        <f t="shared" si="5"/>
        <v>0.27165542714890006</v>
      </c>
      <c r="X65">
        <f t="shared" si="15"/>
        <v>1.2548321156064686</v>
      </c>
      <c r="Y65">
        <f t="shared" si="16"/>
        <v>1.2548321156064686</v>
      </c>
      <c r="Z65">
        <f t="shared" si="17"/>
        <v>1.2548321156064686</v>
      </c>
      <c r="AA65">
        <f t="shared" si="13"/>
        <v>1.1012915460746018</v>
      </c>
      <c r="AC65">
        <f t="shared" si="7"/>
        <v>1.5179420753304054</v>
      </c>
      <c r="AD65">
        <f t="shared" si="8"/>
        <v>1.5179420753304054</v>
      </c>
      <c r="AE65">
        <f t="shared" si="9"/>
        <v>1.5179420753304054</v>
      </c>
      <c r="AF65">
        <f t="shared" si="6"/>
        <v>1.5179420753304051</v>
      </c>
    </row>
    <row r="66" spans="1:32" x14ac:dyDescent="0.25">
      <c r="A66" s="4">
        <v>1740</v>
      </c>
      <c r="D66">
        <v>80</v>
      </c>
      <c r="G66">
        <f t="shared" ref="G66:G74" si="18">D66/100</f>
        <v>0.8</v>
      </c>
      <c r="J66">
        <v>0.18</v>
      </c>
      <c r="K66">
        <v>0.5</v>
      </c>
      <c r="L66">
        <v>0.37</v>
      </c>
      <c r="M66">
        <v>0.75</v>
      </c>
      <c r="N66">
        <f t="shared" si="10"/>
        <v>0.36430609807929731</v>
      </c>
      <c r="O66">
        <f t="shared" si="14"/>
        <v>1.0119613835536037</v>
      </c>
      <c r="P66">
        <f t="shared" si="11"/>
        <v>0.74885142382966674</v>
      </c>
      <c r="Q66">
        <f t="shared" si="12"/>
        <v>1.5179420753304054</v>
      </c>
      <c r="S66">
        <f t="shared" si="2"/>
        <v>0.36430609807929731</v>
      </c>
      <c r="T66">
        <f t="shared" si="3"/>
        <v>0.36430609807929731</v>
      </c>
      <c r="U66">
        <f t="shared" si="4"/>
        <v>0.36430609807929731</v>
      </c>
      <c r="V66">
        <f t="shared" si="5"/>
        <v>0.28560758161468558</v>
      </c>
      <c r="X66">
        <f t="shared" si="15"/>
        <v>0.8</v>
      </c>
      <c r="Y66">
        <f t="shared" si="16"/>
        <v>1.0119613835536037</v>
      </c>
      <c r="Z66">
        <f t="shared" si="17"/>
        <v>0.90598069177680185</v>
      </c>
      <c r="AA66">
        <f t="shared" si="13"/>
        <v>1.0694064036916351</v>
      </c>
      <c r="AC66">
        <f t="shared" si="7"/>
        <v>1.5179420753304054</v>
      </c>
      <c r="AD66">
        <f t="shared" si="8"/>
        <v>1.5179420753304054</v>
      </c>
      <c r="AE66">
        <f t="shared" si="9"/>
        <v>1.5179420753304054</v>
      </c>
      <c r="AF66">
        <f t="shared" si="6"/>
        <v>1.5179420753304051</v>
      </c>
    </row>
    <row r="67" spans="1:32" x14ac:dyDescent="0.25">
      <c r="A67" s="4">
        <v>1741</v>
      </c>
      <c r="C67">
        <v>32</v>
      </c>
      <c r="D67">
        <v>72</v>
      </c>
      <c r="F67">
        <f t="shared" ref="F67:F74" si="19">C67/100</f>
        <v>0.32</v>
      </c>
      <c r="G67">
        <f t="shared" si="18"/>
        <v>0.72</v>
      </c>
      <c r="J67">
        <v>0.18</v>
      </c>
      <c r="K67">
        <v>0.5</v>
      </c>
      <c r="L67">
        <v>0.37</v>
      </c>
      <c r="M67">
        <v>0.75</v>
      </c>
      <c r="N67">
        <f t="shared" si="10"/>
        <v>0.36430609807929731</v>
      </c>
      <c r="O67">
        <f t="shared" si="14"/>
        <v>1.0119613835536037</v>
      </c>
      <c r="P67">
        <f t="shared" si="11"/>
        <v>0.74885142382966674</v>
      </c>
      <c r="Q67">
        <f t="shared" si="12"/>
        <v>1.5179420753304054</v>
      </c>
      <c r="S67">
        <f t="shared" si="2"/>
        <v>0.32</v>
      </c>
      <c r="T67">
        <f t="shared" si="3"/>
        <v>0.36430609807929731</v>
      </c>
      <c r="U67">
        <f t="shared" si="4"/>
        <v>0.34215304903964866</v>
      </c>
      <c r="V67">
        <f t="shared" si="5"/>
        <v>0.30055973608047121</v>
      </c>
      <c r="X67">
        <f t="shared" si="15"/>
        <v>0.72</v>
      </c>
      <c r="Y67">
        <f t="shared" si="16"/>
        <v>1.0119613835536037</v>
      </c>
      <c r="Z67">
        <f t="shared" si="17"/>
        <v>0.86598069177680181</v>
      </c>
      <c r="AA67">
        <f t="shared" si="13"/>
        <v>1.0445212613086685</v>
      </c>
      <c r="AC67">
        <f t="shared" si="7"/>
        <v>1.5179420753304054</v>
      </c>
      <c r="AD67">
        <f t="shared" si="8"/>
        <v>1.5179420753304054</v>
      </c>
      <c r="AE67">
        <f t="shared" si="9"/>
        <v>1.5179420753304054</v>
      </c>
      <c r="AF67">
        <f t="shared" si="6"/>
        <v>1.5179420753304051</v>
      </c>
    </row>
    <row r="68" spans="1:32" x14ac:dyDescent="0.25">
      <c r="A68" s="4">
        <v>1742</v>
      </c>
      <c r="C68">
        <v>28</v>
      </c>
      <c r="D68">
        <v>72</v>
      </c>
      <c r="F68">
        <f t="shared" si="19"/>
        <v>0.28000000000000003</v>
      </c>
      <c r="G68">
        <f t="shared" si="18"/>
        <v>0.72</v>
      </c>
      <c r="J68">
        <v>0.18</v>
      </c>
      <c r="K68">
        <v>0.5</v>
      </c>
      <c r="L68">
        <v>0.37</v>
      </c>
      <c r="M68">
        <v>0.75</v>
      </c>
      <c r="N68">
        <f t="shared" si="10"/>
        <v>0.36430609807929731</v>
      </c>
      <c r="O68">
        <f t="shared" si="14"/>
        <v>1.0119613835536037</v>
      </c>
      <c r="P68">
        <f t="shared" si="11"/>
        <v>0.74885142382966674</v>
      </c>
      <c r="Q68">
        <f t="shared" si="12"/>
        <v>1.5179420753304054</v>
      </c>
      <c r="S68">
        <f t="shared" si="2"/>
        <v>0.28000000000000003</v>
      </c>
      <c r="T68">
        <f t="shared" si="3"/>
        <v>0.36430609807929731</v>
      </c>
      <c r="U68">
        <f t="shared" si="4"/>
        <v>0.3221530490396487</v>
      </c>
      <c r="V68">
        <f t="shared" si="5"/>
        <v>0.31751189054625673</v>
      </c>
      <c r="X68">
        <f t="shared" si="15"/>
        <v>0.72</v>
      </c>
      <c r="Y68">
        <f t="shared" si="16"/>
        <v>1.0119613835536037</v>
      </c>
      <c r="Z68">
        <f t="shared" si="17"/>
        <v>0.86598069177680181</v>
      </c>
      <c r="AA68">
        <f t="shared" si="13"/>
        <v>1.039636118925702</v>
      </c>
      <c r="AC68">
        <f t="shared" si="7"/>
        <v>1.5179420753304054</v>
      </c>
      <c r="AD68">
        <f t="shared" si="8"/>
        <v>1.5179420753304054</v>
      </c>
      <c r="AE68">
        <f t="shared" si="9"/>
        <v>1.5179420753304054</v>
      </c>
      <c r="AF68">
        <f t="shared" si="6"/>
        <v>1.5179420753304051</v>
      </c>
    </row>
    <row r="69" spans="1:32" x14ac:dyDescent="0.25">
      <c r="A69" s="4">
        <v>1743</v>
      </c>
      <c r="C69">
        <v>34</v>
      </c>
      <c r="D69">
        <v>68</v>
      </c>
      <c r="F69">
        <f t="shared" si="19"/>
        <v>0.34</v>
      </c>
      <c r="G69">
        <f t="shared" si="18"/>
        <v>0.68</v>
      </c>
      <c r="J69">
        <v>0.18</v>
      </c>
      <c r="K69">
        <v>0.5</v>
      </c>
      <c r="L69">
        <v>0.37</v>
      </c>
      <c r="M69">
        <v>0.75</v>
      </c>
      <c r="N69">
        <f t="shared" si="10"/>
        <v>0.36430609807929731</v>
      </c>
      <c r="O69">
        <f t="shared" si="14"/>
        <v>1.0119613835536037</v>
      </c>
      <c r="P69">
        <f t="shared" si="11"/>
        <v>0.74885142382966674</v>
      </c>
      <c r="Q69">
        <f t="shared" si="12"/>
        <v>1.5179420753304054</v>
      </c>
      <c r="S69">
        <f t="shared" si="2"/>
        <v>0.34</v>
      </c>
      <c r="T69">
        <f t="shared" si="3"/>
        <v>0.36430609807929731</v>
      </c>
      <c r="U69">
        <f t="shared" si="4"/>
        <v>0.35215304903964867</v>
      </c>
      <c r="V69">
        <f t="shared" si="5"/>
        <v>0.33446404501204235</v>
      </c>
      <c r="X69">
        <f t="shared" si="15"/>
        <v>0.68</v>
      </c>
      <c r="Y69">
        <f t="shared" si="16"/>
        <v>1.0119613835536037</v>
      </c>
      <c r="Z69">
        <f t="shared" si="17"/>
        <v>0.8459806917768018</v>
      </c>
      <c r="AA69">
        <f t="shared" si="13"/>
        <v>1.0337509765427351</v>
      </c>
      <c r="AC69">
        <f t="shared" si="7"/>
        <v>1.5179420753304054</v>
      </c>
      <c r="AD69">
        <f t="shared" si="8"/>
        <v>1.5179420753304054</v>
      </c>
      <c r="AE69">
        <f t="shared" si="9"/>
        <v>1.5179420753304054</v>
      </c>
      <c r="AF69">
        <f t="shared" si="6"/>
        <v>1.5179420753304051</v>
      </c>
    </row>
    <row r="70" spans="1:32" x14ac:dyDescent="0.25">
      <c r="A70" s="4">
        <v>1744</v>
      </c>
      <c r="C70">
        <v>36</v>
      </c>
      <c r="D70">
        <v>86</v>
      </c>
      <c r="F70">
        <f t="shared" si="19"/>
        <v>0.36</v>
      </c>
      <c r="G70">
        <f t="shared" si="18"/>
        <v>0.86</v>
      </c>
      <c r="J70">
        <v>0.18</v>
      </c>
      <c r="K70">
        <v>0.5</v>
      </c>
      <c r="L70">
        <v>0.37</v>
      </c>
      <c r="M70">
        <v>0.75</v>
      </c>
      <c r="N70">
        <f t="shared" si="10"/>
        <v>0.36430609807929731</v>
      </c>
      <c r="O70">
        <f t="shared" si="14"/>
        <v>1.0119613835536037</v>
      </c>
      <c r="P70">
        <f t="shared" si="11"/>
        <v>0.74885142382966674</v>
      </c>
      <c r="Q70">
        <f t="shared" si="12"/>
        <v>1.5179420753304054</v>
      </c>
      <c r="S70">
        <f t="shared" si="2"/>
        <v>0.36</v>
      </c>
      <c r="T70">
        <f t="shared" si="3"/>
        <v>0.36430609807929731</v>
      </c>
      <c r="U70">
        <f t="shared" si="4"/>
        <v>0.36215304903964862</v>
      </c>
      <c r="V70">
        <f t="shared" si="5"/>
        <v>0.34841619947782798</v>
      </c>
      <c r="X70">
        <f t="shared" si="15"/>
        <v>0.86</v>
      </c>
      <c r="Y70">
        <f t="shared" si="16"/>
        <v>1.0119613835536037</v>
      </c>
      <c r="Z70">
        <f t="shared" si="17"/>
        <v>0.93598069177680188</v>
      </c>
      <c r="AA70">
        <f t="shared" si="13"/>
        <v>1.0328658341597685</v>
      </c>
      <c r="AC70">
        <f t="shared" si="7"/>
        <v>1.5179420753304054</v>
      </c>
      <c r="AD70">
        <f t="shared" si="8"/>
        <v>1.5179420753304054</v>
      </c>
      <c r="AE70">
        <f t="shared" si="9"/>
        <v>1.5179420753304054</v>
      </c>
      <c r="AF70">
        <f t="shared" si="6"/>
        <v>1.5179420753304051</v>
      </c>
    </row>
    <row r="71" spans="1:32" x14ac:dyDescent="0.25">
      <c r="A71" s="4">
        <v>1745</v>
      </c>
      <c r="C71">
        <v>38</v>
      </c>
      <c r="D71">
        <v>100</v>
      </c>
      <c r="F71">
        <f t="shared" si="19"/>
        <v>0.38</v>
      </c>
      <c r="G71">
        <f t="shared" si="18"/>
        <v>1</v>
      </c>
      <c r="J71">
        <v>0.18</v>
      </c>
      <c r="K71">
        <v>0.5</v>
      </c>
      <c r="L71">
        <v>0.37</v>
      </c>
      <c r="M71">
        <v>0.75</v>
      </c>
      <c r="N71">
        <f t="shared" si="10"/>
        <v>0.36430609807929731</v>
      </c>
      <c r="O71">
        <f t="shared" si="14"/>
        <v>1.0119613835536037</v>
      </c>
      <c r="P71">
        <f t="shared" si="11"/>
        <v>0.74885142382966674</v>
      </c>
      <c r="Q71">
        <f t="shared" si="12"/>
        <v>1.5179420753304054</v>
      </c>
      <c r="S71">
        <f t="shared" si="2"/>
        <v>0.36430609807929731</v>
      </c>
      <c r="T71">
        <f t="shared" si="3"/>
        <v>0.38</v>
      </c>
      <c r="U71">
        <f t="shared" si="4"/>
        <v>0.37215304903964863</v>
      </c>
      <c r="V71">
        <f t="shared" si="5"/>
        <v>0.36258365884757832</v>
      </c>
      <c r="X71">
        <f t="shared" si="15"/>
        <v>1</v>
      </c>
      <c r="Y71">
        <f t="shared" si="16"/>
        <v>1.0119613835536037</v>
      </c>
      <c r="Z71">
        <f t="shared" si="17"/>
        <v>1.0059806917768017</v>
      </c>
      <c r="AA71">
        <f t="shared" si="13"/>
        <v>1.0085787609544821</v>
      </c>
      <c r="AC71">
        <f t="shared" si="7"/>
        <v>1.5179420753304054</v>
      </c>
      <c r="AD71">
        <f t="shared" si="8"/>
        <v>1.5179420753304054</v>
      </c>
      <c r="AE71">
        <f t="shared" si="9"/>
        <v>1.5179420753304054</v>
      </c>
      <c r="AF71">
        <f t="shared" si="6"/>
        <v>1.5179420753304051</v>
      </c>
    </row>
    <row r="72" spans="1:32" x14ac:dyDescent="0.25">
      <c r="A72" s="4">
        <v>1746</v>
      </c>
      <c r="C72">
        <v>42</v>
      </c>
      <c r="D72">
        <v>140</v>
      </c>
      <c r="F72">
        <f t="shared" si="19"/>
        <v>0.42</v>
      </c>
      <c r="G72">
        <f t="shared" si="18"/>
        <v>1.4</v>
      </c>
      <c r="J72">
        <v>0.18</v>
      </c>
      <c r="K72">
        <v>0.5</v>
      </c>
      <c r="L72">
        <v>0.37</v>
      </c>
      <c r="M72">
        <v>0.75</v>
      </c>
      <c r="N72">
        <f t="shared" si="10"/>
        <v>0.36430609807929731</v>
      </c>
      <c r="O72">
        <f t="shared" si="14"/>
        <v>1.0119613835536037</v>
      </c>
      <c r="P72">
        <f t="shared" si="11"/>
        <v>0.74885142382966674</v>
      </c>
      <c r="Q72">
        <f t="shared" si="12"/>
        <v>1.5179420753304054</v>
      </c>
      <c r="S72">
        <f t="shared" si="2"/>
        <v>0.36430609807929731</v>
      </c>
      <c r="T72">
        <f t="shared" si="3"/>
        <v>0.42</v>
      </c>
      <c r="U72">
        <f t="shared" si="4"/>
        <v>0.39215304903964865</v>
      </c>
      <c r="V72">
        <f t="shared" si="5"/>
        <v>0.35334443117650632</v>
      </c>
      <c r="X72">
        <f t="shared" si="15"/>
        <v>1.0119613835536037</v>
      </c>
      <c r="Y72">
        <f t="shared" si="16"/>
        <v>1.4</v>
      </c>
      <c r="Z72">
        <f t="shared" si="17"/>
        <v>1.2059806917768019</v>
      </c>
      <c r="AA72">
        <f t="shared" si="13"/>
        <v>1.0145309154202677</v>
      </c>
      <c r="AC72">
        <f t="shared" si="7"/>
        <v>1.5179420753304054</v>
      </c>
      <c r="AD72">
        <f t="shared" si="8"/>
        <v>1.5179420753304054</v>
      </c>
      <c r="AE72">
        <f t="shared" si="9"/>
        <v>1.5179420753304054</v>
      </c>
      <c r="AF72">
        <f t="shared" si="6"/>
        <v>1.53615738023437</v>
      </c>
    </row>
    <row r="73" spans="1:32" x14ac:dyDescent="0.25">
      <c r="A73" s="4">
        <v>1747</v>
      </c>
      <c r="C73">
        <v>42</v>
      </c>
      <c r="D73">
        <v>138</v>
      </c>
      <c r="F73">
        <f t="shared" si="19"/>
        <v>0.42</v>
      </c>
      <c r="G73">
        <f t="shared" si="18"/>
        <v>1.38</v>
      </c>
      <c r="J73">
        <v>0.18</v>
      </c>
      <c r="K73">
        <v>0.5</v>
      </c>
      <c r="L73">
        <v>0.37</v>
      </c>
      <c r="M73">
        <v>0.75</v>
      </c>
      <c r="N73">
        <f t="shared" si="10"/>
        <v>0.36430609807929731</v>
      </c>
      <c r="O73">
        <f t="shared" si="14"/>
        <v>1.0119613835536037</v>
      </c>
      <c r="P73">
        <f t="shared" si="11"/>
        <v>0.74885142382966674</v>
      </c>
      <c r="Q73">
        <f t="shared" si="12"/>
        <v>1.5179420753304054</v>
      </c>
      <c r="S73">
        <f t="shared" si="2"/>
        <v>0.36430609807929731</v>
      </c>
      <c r="T73">
        <f t="shared" si="3"/>
        <v>0.42</v>
      </c>
      <c r="U73">
        <f t="shared" si="4"/>
        <v>0.39215304903964865</v>
      </c>
      <c r="V73">
        <f t="shared" si="5"/>
        <v>0.34732050840939904</v>
      </c>
      <c r="X73">
        <f t="shared" si="15"/>
        <v>1.0119613835536037</v>
      </c>
      <c r="Y73">
        <f t="shared" si="16"/>
        <v>1.38</v>
      </c>
      <c r="Z73">
        <f t="shared" si="17"/>
        <v>1.1959806917768017</v>
      </c>
      <c r="AA73">
        <f t="shared" ref="AA73:AA125" si="20">AVERAGE(Z73,Z72,Z71,Z70,Z74,Z75,Z76,Z69,Z77,Z68)</f>
        <v>1.0224830698860532</v>
      </c>
      <c r="AC73">
        <f t="shared" si="7"/>
        <v>1.5179420753304054</v>
      </c>
      <c r="AD73">
        <f t="shared" si="8"/>
        <v>1.5179420753304054</v>
      </c>
      <c r="AE73">
        <f t="shared" si="9"/>
        <v>1.5179420753304054</v>
      </c>
      <c r="AF73">
        <f t="shared" ref="AF73:AF125" si="21">AVERAGE(AE73,AE72,AE71,AE70,AE74,AE75,AE76,AE69,AE77,AE68)</f>
        <v>1.554372685138335</v>
      </c>
    </row>
    <row r="74" spans="1:32" x14ac:dyDescent="0.25">
      <c r="A74" s="4">
        <v>1748</v>
      </c>
      <c r="C74">
        <v>36</v>
      </c>
      <c r="D74">
        <v>148</v>
      </c>
      <c r="F74">
        <f t="shared" si="19"/>
        <v>0.36</v>
      </c>
      <c r="G74">
        <f t="shared" si="18"/>
        <v>1.48</v>
      </c>
      <c r="J74">
        <v>0.18</v>
      </c>
      <c r="K74">
        <v>0.5</v>
      </c>
      <c r="L74">
        <v>0.37</v>
      </c>
      <c r="M74">
        <v>0.75</v>
      </c>
      <c r="N74">
        <f t="shared" si="10"/>
        <v>0.36430609807929731</v>
      </c>
      <c r="O74">
        <f t="shared" si="14"/>
        <v>1.0119613835536037</v>
      </c>
      <c r="P74">
        <f t="shared" si="11"/>
        <v>0.74885142382966674</v>
      </c>
      <c r="Q74">
        <f t="shared" si="12"/>
        <v>1.5179420753304054</v>
      </c>
      <c r="S74">
        <f t="shared" ref="S74:S120" si="22">MIN(N74,F74)</f>
        <v>0.36</v>
      </c>
      <c r="T74">
        <f t="shared" ref="T74:T120" si="23">MAX(N74,F74)</f>
        <v>0.36430609807929731</v>
      </c>
      <c r="U74">
        <f t="shared" ref="U74:U120" si="24">AVERAGE(N74,F74)</f>
        <v>0.36215304903964862</v>
      </c>
      <c r="V74">
        <f t="shared" si="5"/>
        <v>0.34329658564229193</v>
      </c>
      <c r="X74">
        <f t="shared" si="15"/>
        <v>1.0119613835536037</v>
      </c>
      <c r="Y74">
        <f t="shared" si="16"/>
        <v>1.48</v>
      </c>
      <c r="Z74">
        <f t="shared" si="17"/>
        <v>1.2459806917768019</v>
      </c>
      <c r="AA74">
        <f t="shared" si="20"/>
        <v>1.0304352243518389</v>
      </c>
      <c r="AC74">
        <f t="shared" ref="AC74:AC120" si="25">MIN(Q74,H74)</f>
        <v>1.5179420753304054</v>
      </c>
      <c r="AD74">
        <f t="shared" ref="AD74:AD120" si="26">MAX(Q74,H74)</f>
        <v>1.5179420753304054</v>
      </c>
      <c r="AE74">
        <f t="shared" ref="AE74:AE120" si="27">AVERAGE(Q74,H74)</f>
        <v>1.5179420753304054</v>
      </c>
      <c r="AF74">
        <f t="shared" si="21"/>
        <v>1.5725879900423001</v>
      </c>
    </row>
    <row r="75" spans="1:32" x14ac:dyDescent="0.25">
      <c r="A75" s="4">
        <v>1749</v>
      </c>
      <c r="J75">
        <v>0.18</v>
      </c>
      <c r="K75">
        <v>0.5</v>
      </c>
      <c r="L75">
        <v>0.37</v>
      </c>
      <c r="M75">
        <v>0.75</v>
      </c>
      <c r="N75">
        <f t="shared" si="10"/>
        <v>0.36430609807929731</v>
      </c>
      <c r="O75">
        <f t="shared" si="14"/>
        <v>1.0119613835536037</v>
      </c>
      <c r="P75">
        <f t="shared" si="11"/>
        <v>0.74885142382966674</v>
      </c>
      <c r="Q75">
        <f t="shared" si="12"/>
        <v>1.5179420753304054</v>
      </c>
      <c r="S75">
        <f t="shared" si="22"/>
        <v>0.36430609807929731</v>
      </c>
      <c r="T75">
        <f t="shared" si="23"/>
        <v>0.36430609807929731</v>
      </c>
      <c r="U75">
        <f t="shared" si="24"/>
        <v>0.36430609807929731</v>
      </c>
      <c r="V75">
        <f t="shared" si="5"/>
        <v>0.33727266287518465</v>
      </c>
      <c r="X75">
        <f t="shared" si="15"/>
        <v>1.0119613835536037</v>
      </c>
      <c r="Y75">
        <f t="shared" si="16"/>
        <v>1.0119613835536037</v>
      </c>
      <c r="Z75">
        <f t="shared" si="17"/>
        <v>1.0119613835536037</v>
      </c>
      <c r="AA75">
        <f t="shared" si="20"/>
        <v>1.0393873788176244</v>
      </c>
      <c r="AC75">
        <f t="shared" si="25"/>
        <v>1.5179420753304054</v>
      </c>
      <c r="AD75">
        <f t="shared" si="26"/>
        <v>1.5179420753304054</v>
      </c>
      <c r="AE75">
        <f t="shared" si="27"/>
        <v>1.5179420753304054</v>
      </c>
      <c r="AF75">
        <f t="shared" si="21"/>
        <v>1.5908032949462649</v>
      </c>
    </row>
    <row r="76" spans="1:32" x14ac:dyDescent="0.25">
      <c r="A76" s="4">
        <v>1750</v>
      </c>
      <c r="C76">
        <v>22</v>
      </c>
      <c r="D76">
        <v>100</v>
      </c>
      <c r="F76">
        <f t="shared" ref="F76:F84" si="28">C76/100</f>
        <v>0.22</v>
      </c>
      <c r="G76">
        <f t="shared" ref="G76:G84" si="29">D76/100</f>
        <v>1</v>
      </c>
      <c r="J76">
        <v>0.16</v>
      </c>
      <c r="K76">
        <v>0.46</v>
      </c>
      <c r="L76">
        <v>0.33</v>
      </c>
      <c r="M76">
        <v>0.84</v>
      </c>
      <c r="N76">
        <f t="shared" si="10"/>
        <v>0.3238276427371532</v>
      </c>
      <c r="O76">
        <f t="shared" si="14"/>
        <v>0.93100447286931542</v>
      </c>
      <c r="P76">
        <f t="shared" si="11"/>
        <v>0.6678945131453784</v>
      </c>
      <c r="Q76">
        <f t="shared" si="12"/>
        <v>1.7000951243700542</v>
      </c>
      <c r="S76">
        <f t="shared" si="22"/>
        <v>0.22</v>
      </c>
      <c r="T76">
        <f t="shared" si="23"/>
        <v>0.3238276427371532</v>
      </c>
      <c r="U76">
        <f t="shared" si="24"/>
        <v>0.27191382136857661</v>
      </c>
      <c r="V76">
        <f t="shared" si="5"/>
        <v>0.33124874010807753</v>
      </c>
      <c r="X76">
        <f t="shared" si="15"/>
        <v>0.93100447286931542</v>
      </c>
      <c r="Y76">
        <f t="shared" si="16"/>
        <v>1</v>
      </c>
      <c r="Z76">
        <f t="shared" si="17"/>
        <v>0.96550223643465771</v>
      </c>
      <c r="AA76">
        <f t="shared" si="20"/>
        <v>1.03433953328341</v>
      </c>
      <c r="AC76">
        <f t="shared" si="25"/>
        <v>1.7000951243700542</v>
      </c>
      <c r="AD76">
        <f t="shared" si="26"/>
        <v>1.7000951243700542</v>
      </c>
      <c r="AE76">
        <f t="shared" si="27"/>
        <v>1.7000951243700542</v>
      </c>
      <c r="AF76">
        <f t="shared" si="21"/>
        <v>1.60901859985023</v>
      </c>
    </row>
    <row r="77" spans="1:32" x14ac:dyDescent="0.25">
      <c r="A77" s="4">
        <v>1751</v>
      </c>
      <c r="C77">
        <v>24</v>
      </c>
      <c r="D77">
        <v>96</v>
      </c>
      <c r="F77">
        <f t="shared" si="28"/>
        <v>0.24</v>
      </c>
      <c r="G77">
        <f t="shared" si="29"/>
        <v>0.96</v>
      </c>
      <c r="J77">
        <v>0.16</v>
      </c>
      <c r="K77">
        <v>0.46</v>
      </c>
      <c r="L77">
        <v>0.33</v>
      </c>
      <c r="M77">
        <v>0.84</v>
      </c>
      <c r="N77">
        <f t="shared" si="10"/>
        <v>0.3238276427371532</v>
      </c>
      <c r="O77">
        <f t="shared" si="14"/>
        <v>0.93100447286931542</v>
      </c>
      <c r="P77">
        <f t="shared" si="11"/>
        <v>0.6678945131453784</v>
      </c>
      <c r="Q77">
        <f t="shared" si="12"/>
        <v>1.7000951243700542</v>
      </c>
      <c r="S77">
        <f t="shared" si="22"/>
        <v>0.24</v>
      </c>
      <c r="T77">
        <f t="shared" si="23"/>
        <v>0.3238276427371532</v>
      </c>
      <c r="U77">
        <f t="shared" si="24"/>
        <v>0.28191382136857657</v>
      </c>
      <c r="V77">
        <f t="shared" si="5"/>
        <v>0.33122481734097026</v>
      </c>
      <c r="X77">
        <f t="shared" si="15"/>
        <v>0.93100447286931542</v>
      </c>
      <c r="Y77">
        <f t="shared" si="16"/>
        <v>0.96</v>
      </c>
      <c r="Z77">
        <f t="shared" si="17"/>
        <v>0.94550223643465769</v>
      </c>
      <c r="AA77">
        <f t="shared" si="20"/>
        <v>1.0322916877491954</v>
      </c>
      <c r="AC77">
        <f t="shared" si="25"/>
        <v>1.7000951243700542</v>
      </c>
      <c r="AD77">
        <f t="shared" si="26"/>
        <v>1.7000951243700542</v>
      </c>
      <c r="AE77">
        <f t="shared" si="27"/>
        <v>1.7000951243700542</v>
      </c>
      <c r="AF77">
        <f t="shared" si="21"/>
        <v>1.6272339047541948</v>
      </c>
    </row>
    <row r="78" spans="1:32" x14ac:dyDescent="0.25">
      <c r="A78" s="4">
        <v>1752</v>
      </c>
      <c r="C78">
        <v>24</v>
      </c>
      <c r="D78">
        <v>96</v>
      </c>
      <c r="F78">
        <f t="shared" si="28"/>
        <v>0.24</v>
      </c>
      <c r="G78">
        <f t="shared" si="29"/>
        <v>0.96</v>
      </c>
      <c r="J78">
        <v>0.16</v>
      </c>
      <c r="K78">
        <v>0.46</v>
      </c>
      <c r="L78">
        <v>0.33</v>
      </c>
      <c r="M78">
        <v>0.84</v>
      </c>
      <c r="N78">
        <f t="shared" si="10"/>
        <v>0.3238276427371532</v>
      </c>
      <c r="O78">
        <f t="shared" si="14"/>
        <v>0.93100447286931542</v>
      </c>
      <c r="P78">
        <f t="shared" si="11"/>
        <v>0.6678945131453784</v>
      </c>
      <c r="Q78">
        <f t="shared" si="12"/>
        <v>1.7000951243700542</v>
      </c>
      <c r="S78">
        <f t="shared" si="22"/>
        <v>0.24</v>
      </c>
      <c r="T78">
        <f t="shared" si="23"/>
        <v>0.3238276427371532</v>
      </c>
      <c r="U78">
        <f t="shared" si="24"/>
        <v>0.28191382136857657</v>
      </c>
      <c r="V78">
        <f t="shared" si="5"/>
        <v>0.32920089457386303</v>
      </c>
      <c r="X78">
        <f t="shared" ref="X78:X109" si="30">MIN(G78,O78)</f>
        <v>0.93100447286931542</v>
      </c>
      <c r="Y78">
        <f t="shared" ref="Y78:Y109" si="31">MAX(O78,G78)</f>
        <v>0.96</v>
      </c>
      <c r="Z78">
        <f t="shared" ref="Z78:Z109" si="32">AVERAGE(O78,G78)</f>
        <v>0.94550223643465769</v>
      </c>
      <c r="AA78">
        <f t="shared" si="20"/>
        <v>1.009243842214981</v>
      </c>
      <c r="AC78">
        <f t="shared" si="25"/>
        <v>1.7000951243700542</v>
      </c>
      <c r="AD78">
        <f t="shared" si="26"/>
        <v>1.7000951243700542</v>
      </c>
      <c r="AE78">
        <f t="shared" si="27"/>
        <v>1.7000951243700542</v>
      </c>
      <c r="AF78">
        <f t="shared" si="21"/>
        <v>1.6454492096581597</v>
      </c>
    </row>
    <row r="79" spans="1:32" x14ac:dyDescent="0.25">
      <c r="A79" s="4">
        <v>1753</v>
      </c>
      <c r="C79">
        <v>26</v>
      </c>
      <c r="D79">
        <v>94</v>
      </c>
      <c r="F79">
        <f t="shared" si="28"/>
        <v>0.26</v>
      </c>
      <c r="G79">
        <f t="shared" si="29"/>
        <v>0.94</v>
      </c>
      <c r="J79">
        <v>0.16</v>
      </c>
      <c r="K79">
        <v>0.46</v>
      </c>
      <c r="L79">
        <v>0.33</v>
      </c>
      <c r="M79">
        <v>0.84</v>
      </c>
      <c r="N79">
        <f t="shared" si="10"/>
        <v>0.3238276427371532</v>
      </c>
      <c r="O79">
        <f t="shared" si="14"/>
        <v>0.93100447286931542</v>
      </c>
      <c r="P79">
        <f t="shared" si="11"/>
        <v>0.6678945131453784</v>
      </c>
      <c r="Q79">
        <f t="shared" si="12"/>
        <v>1.7000951243700542</v>
      </c>
      <c r="S79">
        <f t="shared" si="22"/>
        <v>0.26</v>
      </c>
      <c r="T79">
        <f t="shared" si="23"/>
        <v>0.3238276427371532</v>
      </c>
      <c r="U79">
        <f t="shared" si="24"/>
        <v>0.29191382136857658</v>
      </c>
      <c r="V79">
        <f t="shared" si="5"/>
        <v>0.32617697180675587</v>
      </c>
      <c r="X79">
        <f t="shared" si="30"/>
        <v>0.93100447286931542</v>
      </c>
      <c r="Y79">
        <f t="shared" si="31"/>
        <v>0.94</v>
      </c>
      <c r="Z79">
        <f t="shared" si="32"/>
        <v>0.93550223643465769</v>
      </c>
      <c r="AA79">
        <f t="shared" si="20"/>
        <v>0.97519599668076662</v>
      </c>
      <c r="AC79">
        <f t="shared" si="25"/>
        <v>1.7000951243700542</v>
      </c>
      <c r="AD79">
        <f t="shared" si="26"/>
        <v>1.7000951243700542</v>
      </c>
      <c r="AE79">
        <f t="shared" si="27"/>
        <v>1.7000951243700542</v>
      </c>
      <c r="AF79">
        <f t="shared" si="21"/>
        <v>1.6636645145621245</v>
      </c>
    </row>
    <row r="80" spans="1:32" x14ac:dyDescent="0.25">
      <c r="A80" s="4">
        <v>1754</v>
      </c>
      <c r="C80">
        <v>28</v>
      </c>
      <c r="D80">
        <v>84</v>
      </c>
      <c r="F80">
        <f t="shared" si="28"/>
        <v>0.28000000000000003</v>
      </c>
      <c r="G80">
        <f t="shared" si="29"/>
        <v>0.84</v>
      </c>
      <c r="J80">
        <v>0.16</v>
      </c>
      <c r="K80">
        <v>0.46</v>
      </c>
      <c r="L80">
        <v>0.33</v>
      </c>
      <c r="M80">
        <v>0.84</v>
      </c>
      <c r="N80">
        <f t="shared" si="10"/>
        <v>0.3238276427371532</v>
      </c>
      <c r="O80">
        <f t="shared" si="14"/>
        <v>0.93100447286931542</v>
      </c>
      <c r="P80">
        <f t="shared" si="11"/>
        <v>0.6678945131453784</v>
      </c>
      <c r="Q80">
        <f t="shared" si="12"/>
        <v>1.7000951243700542</v>
      </c>
      <c r="S80">
        <f t="shared" si="22"/>
        <v>0.28000000000000003</v>
      </c>
      <c r="T80">
        <f t="shared" si="23"/>
        <v>0.3238276427371532</v>
      </c>
      <c r="U80">
        <f t="shared" si="24"/>
        <v>0.30191382136857658</v>
      </c>
      <c r="V80">
        <f t="shared" si="5"/>
        <v>0.3291530490396487</v>
      </c>
      <c r="X80">
        <f t="shared" si="30"/>
        <v>0.84</v>
      </c>
      <c r="Y80">
        <f t="shared" si="31"/>
        <v>0.93100447286931542</v>
      </c>
      <c r="Z80">
        <f t="shared" si="32"/>
        <v>0.88550223643465764</v>
      </c>
      <c r="AA80">
        <f t="shared" si="20"/>
        <v>0.93814815114655237</v>
      </c>
      <c r="AC80">
        <f t="shared" si="25"/>
        <v>1.7000951243700542</v>
      </c>
      <c r="AD80">
        <f t="shared" si="26"/>
        <v>1.7000951243700542</v>
      </c>
      <c r="AE80">
        <f t="shared" si="27"/>
        <v>1.7000951243700542</v>
      </c>
      <c r="AF80">
        <f t="shared" si="21"/>
        <v>1.6818798194660896</v>
      </c>
    </row>
    <row r="81" spans="1:32" x14ac:dyDescent="0.25">
      <c r="A81" s="4">
        <v>1755</v>
      </c>
      <c r="C81">
        <v>42</v>
      </c>
      <c r="D81">
        <v>104</v>
      </c>
      <c r="F81">
        <f t="shared" si="28"/>
        <v>0.42</v>
      </c>
      <c r="G81">
        <f t="shared" si="29"/>
        <v>1.04</v>
      </c>
      <c r="J81">
        <v>0.16</v>
      </c>
      <c r="K81">
        <v>0.46</v>
      </c>
      <c r="L81">
        <v>0.33</v>
      </c>
      <c r="M81">
        <v>0.84</v>
      </c>
      <c r="N81">
        <f t="shared" si="10"/>
        <v>0.3238276427371532</v>
      </c>
      <c r="O81">
        <f t="shared" si="14"/>
        <v>0.93100447286931542</v>
      </c>
      <c r="P81">
        <f t="shared" si="11"/>
        <v>0.6678945131453784</v>
      </c>
      <c r="Q81">
        <f t="shared" si="12"/>
        <v>1.7000951243700542</v>
      </c>
      <c r="S81">
        <f t="shared" si="22"/>
        <v>0.3238276427371532</v>
      </c>
      <c r="T81">
        <f t="shared" si="23"/>
        <v>0.42</v>
      </c>
      <c r="U81">
        <f t="shared" si="24"/>
        <v>0.37191382136857659</v>
      </c>
      <c r="V81">
        <f t="shared" si="5"/>
        <v>0.32510520350543431</v>
      </c>
      <c r="X81">
        <f t="shared" si="30"/>
        <v>0.93100447286931542</v>
      </c>
      <c r="Y81">
        <f t="shared" si="31"/>
        <v>1.04</v>
      </c>
      <c r="Z81">
        <f t="shared" si="32"/>
        <v>0.98550223643465773</v>
      </c>
      <c r="AA81">
        <f t="shared" si="20"/>
        <v>0.93005246007812337</v>
      </c>
      <c r="AC81">
        <f t="shared" si="25"/>
        <v>1.7000951243700542</v>
      </c>
      <c r="AD81">
        <f t="shared" si="26"/>
        <v>1.7000951243700542</v>
      </c>
      <c r="AE81">
        <f t="shared" si="27"/>
        <v>1.7000951243700542</v>
      </c>
      <c r="AF81">
        <f t="shared" si="21"/>
        <v>1.7000951243700544</v>
      </c>
    </row>
    <row r="82" spans="1:32" x14ac:dyDescent="0.25">
      <c r="A82" s="4">
        <v>1756</v>
      </c>
      <c r="C82">
        <v>42</v>
      </c>
      <c r="D82">
        <v>102</v>
      </c>
      <c r="F82">
        <f t="shared" si="28"/>
        <v>0.42</v>
      </c>
      <c r="G82">
        <f t="shared" si="29"/>
        <v>1.02</v>
      </c>
      <c r="J82">
        <v>0.16</v>
      </c>
      <c r="K82">
        <v>0.46</v>
      </c>
      <c r="L82">
        <v>0.33</v>
      </c>
      <c r="M82">
        <v>0.84</v>
      </c>
      <c r="N82">
        <f t="shared" si="10"/>
        <v>0.3238276427371532</v>
      </c>
      <c r="O82">
        <f t="shared" si="14"/>
        <v>0.93100447286931542</v>
      </c>
      <c r="P82">
        <f t="shared" si="11"/>
        <v>0.6678945131453784</v>
      </c>
      <c r="Q82">
        <f t="shared" si="12"/>
        <v>1.7000951243700542</v>
      </c>
      <c r="S82">
        <f t="shared" si="22"/>
        <v>0.3238276427371532</v>
      </c>
      <c r="T82">
        <f t="shared" si="23"/>
        <v>0.42</v>
      </c>
      <c r="U82">
        <f t="shared" si="24"/>
        <v>0.37191382136857659</v>
      </c>
      <c r="V82">
        <f t="shared" si="5"/>
        <v>0.3331171648889879</v>
      </c>
      <c r="X82">
        <f t="shared" si="30"/>
        <v>0.93100447286931542</v>
      </c>
      <c r="Y82">
        <f t="shared" si="31"/>
        <v>1.02</v>
      </c>
      <c r="Z82">
        <f t="shared" si="32"/>
        <v>0.97550223643465772</v>
      </c>
      <c r="AA82">
        <f t="shared" si="20"/>
        <v>0.9109926531603556</v>
      </c>
      <c r="AC82">
        <f t="shared" si="25"/>
        <v>1.7000951243700542</v>
      </c>
      <c r="AD82">
        <f t="shared" si="26"/>
        <v>1.7000951243700542</v>
      </c>
      <c r="AE82">
        <f t="shared" si="27"/>
        <v>1.7000951243700542</v>
      </c>
      <c r="AF82">
        <f t="shared" si="21"/>
        <v>1.7203343520411263</v>
      </c>
    </row>
    <row r="83" spans="1:32" x14ac:dyDescent="0.25">
      <c r="A83" s="4">
        <v>1757</v>
      </c>
      <c r="C83">
        <v>40</v>
      </c>
      <c r="D83">
        <v>78</v>
      </c>
      <c r="F83">
        <f t="shared" si="28"/>
        <v>0.4</v>
      </c>
      <c r="G83">
        <f t="shared" si="29"/>
        <v>0.78</v>
      </c>
      <c r="J83">
        <v>0.16</v>
      </c>
      <c r="K83">
        <v>0.46</v>
      </c>
      <c r="L83">
        <v>0.33</v>
      </c>
      <c r="M83">
        <v>0.84</v>
      </c>
      <c r="N83">
        <f t="shared" si="10"/>
        <v>0.3238276427371532</v>
      </c>
      <c r="O83">
        <f t="shared" si="14"/>
        <v>0.93100447286931542</v>
      </c>
      <c r="P83">
        <f t="shared" si="11"/>
        <v>0.6678945131453784</v>
      </c>
      <c r="Q83">
        <f t="shared" si="12"/>
        <v>1.7000951243700542</v>
      </c>
      <c r="S83">
        <f t="shared" si="22"/>
        <v>0.3238276427371532</v>
      </c>
      <c r="T83">
        <f t="shared" si="23"/>
        <v>0.4</v>
      </c>
      <c r="U83">
        <f t="shared" si="24"/>
        <v>0.36191382136857664</v>
      </c>
      <c r="V83">
        <f t="shared" si="5"/>
        <v>0.34212912627254155</v>
      </c>
      <c r="X83">
        <f t="shared" si="30"/>
        <v>0.78</v>
      </c>
      <c r="Y83">
        <f t="shared" si="31"/>
        <v>0.93100447286931542</v>
      </c>
      <c r="Z83">
        <f t="shared" si="32"/>
        <v>0.85550223643465773</v>
      </c>
      <c r="AA83">
        <f t="shared" si="20"/>
        <v>0.89293284624258751</v>
      </c>
      <c r="AC83">
        <f t="shared" si="25"/>
        <v>1.7000951243700542</v>
      </c>
      <c r="AD83">
        <f t="shared" si="26"/>
        <v>1.7000951243700542</v>
      </c>
      <c r="AE83">
        <f t="shared" si="27"/>
        <v>1.7000951243700542</v>
      </c>
      <c r="AF83">
        <f t="shared" si="21"/>
        <v>1.7405735797121984</v>
      </c>
    </row>
    <row r="84" spans="1:32" x14ac:dyDescent="0.25">
      <c r="A84" s="4">
        <v>1758</v>
      </c>
      <c r="C84">
        <v>46</v>
      </c>
      <c r="D84">
        <v>82</v>
      </c>
      <c r="F84">
        <f t="shared" si="28"/>
        <v>0.46</v>
      </c>
      <c r="G84">
        <f t="shared" si="29"/>
        <v>0.82</v>
      </c>
      <c r="J84">
        <v>0.16</v>
      </c>
      <c r="K84">
        <v>0.46</v>
      </c>
      <c r="L84">
        <v>0.33</v>
      </c>
      <c r="M84">
        <v>0.84</v>
      </c>
      <c r="N84">
        <f t="shared" si="10"/>
        <v>0.3238276427371532</v>
      </c>
      <c r="O84">
        <f t="shared" si="14"/>
        <v>0.93100447286931542</v>
      </c>
      <c r="P84">
        <f t="shared" si="11"/>
        <v>0.6678945131453784</v>
      </c>
      <c r="Q84">
        <f t="shared" si="12"/>
        <v>1.7000951243700542</v>
      </c>
      <c r="S84">
        <f t="shared" si="22"/>
        <v>0.3238276427371532</v>
      </c>
      <c r="T84">
        <f t="shared" si="23"/>
        <v>0.46</v>
      </c>
      <c r="U84">
        <f t="shared" si="24"/>
        <v>0.39191382136857661</v>
      </c>
      <c r="V84">
        <f t="shared" si="5"/>
        <v>0.35214108765609514</v>
      </c>
      <c r="X84">
        <f t="shared" si="30"/>
        <v>0.82</v>
      </c>
      <c r="Y84">
        <f t="shared" si="31"/>
        <v>0.93100447286931542</v>
      </c>
      <c r="Z84">
        <f t="shared" si="32"/>
        <v>0.87550223643465763</v>
      </c>
      <c r="AA84">
        <f t="shared" si="20"/>
        <v>0.87687303932481941</v>
      </c>
      <c r="AC84">
        <f t="shared" si="25"/>
        <v>1.7000951243700542</v>
      </c>
      <c r="AD84">
        <f t="shared" si="26"/>
        <v>1.7000951243700542</v>
      </c>
      <c r="AE84">
        <f t="shared" si="27"/>
        <v>1.7000951243700542</v>
      </c>
      <c r="AF84">
        <f t="shared" si="21"/>
        <v>1.7608128073832703</v>
      </c>
    </row>
    <row r="85" spans="1:32" x14ac:dyDescent="0.25">
      <c r="A85" s="4">
        <v>1759</v>
      </c>
      <c r="J85">
        <v>0.16</v>
      </c>
      <c r="K85">
        <v>0.46</v>
      </c>
      <c r="L85">
        <v>0.33</v>
      </c>
      <c r="M85">
        <v>0.84</v>
      </c>
      <c r="N85">
        <f t="shared" si="10"/>
        <v>0.3238276427371532</v>
      </c>
      <c r="O85">
        <f t="shared" si="14"/>
        <v>0.93100447286931542</v>
      </c>
      <c r="P85">
        <f t="shared" si="11"/>
        <v>0.6678945131453784</v>
      </c>
      <c r="Q85">
        <f t="shared" si="12"/>
        <v>1.7000951243700542</v>
      </c>
      <c r="S85">
        <f t="shared" si="22"/>
        <v>0.3238276427371532</v>
      </c>
      <c r="T85">
        <f t="shared" si="23"/>
        <v>0.3238276427371532</v>
      </c>
      <c r="U85">
        <f t="shared" si="24"/>
        <v>0.3238276427371532</v>
      </c>
      <c r="V85">
        <f t="shared" si="5"/>
        <v>0.35815304903964867</v>
      </c>
      <c r="X85">
        <f t="shared" si="30"/>
        <v>0.93100447286931542</v>
      </c>
      <c r="Y85">
        <f t="shared" si="31"/>
        <v>0.93100447286931542</v>
      </c>
      <c r="Z85">
        <f t="shared" si="32"/>
        <v>0.93100447286931542</v>
      </c>
      <c r="AA85">
        <f t="shared" si="20"/>
        <v>0.86281323240705132</v>
      </c>
      <c r="AC85">
        <f t="shared" si="25"/>
        <v>1.7000951243700542</v>
      </c>
      <c r="AD85">
        <f t="shared" si="26"/>
        <v>1.7000951243700542</v>
      </c>
      <c r="AE85">
        <f t="shared" si="27"/>
        <v>1.7000951243700542</v>
      </c>
      <c r="AF85">
        <f t="shared" si="21"/>
        <v>1.7810520350543428</v>
      </c>
    </row>
    <row r="86" spans="1:32" x14ac:dyDescent="0.25">
      <c r="A86" s="4">
        <v>1760</v>
      </c>
      <c r="C86">
        <v>36</v>
      </c>
      <c r="D86">
        <v>72</v>
      </c>
      <c r="F86">
        <f t="shared" ref="F86:F107" si="33">C86/100</f>
        <v>0.36</v>
      </c>
      <c r="G86">
        <f t="shared" ref="G86:G107" si="34">D86/100</f>
        <v>0.72</v>
      </c>
      <c r="J86">
        <v>0.17</v>
      </c>
      <c r="K86">
        <v>0.41</v>
      </c>
      <c r="L86">
        <v>0.56999999999999995</v>
      </c>
      <c r="M86">
        <v>0.94</v>
      </c>
      <c r="N86">
        <f t="shared" si="10"/>
        <v>0.34406687040822526</v>
      </c>
      <c r="O86">
        <f t="shared" si="14"/>
        <v>0.82980833451395497</v>
      </c>
      <c r="P86">
        <f t="shared" si="11"/>
        <v>1.153635977251108</v>
      </c>
      <c r="Q86">
        <f t="shared" si="12"/>
        <v>1.9024874010807749</v>
      </c>
      <c r="S86">
        <f t="shared" si="22"/>
        <v>0.34406687040822526</v>
      </c>
      <c r="T86">
        <f t="shared" si="23"/>
        <v>0.36</v>
      </c>
      <c r="U86">
        <f t="shared" si="24"/>
        <v>0.35203343520411262</v>
      </c>
      <c r="V86">
        <f t="shared" ref="V86:V125" si="35">AVERAGE(U86,U85,U84,U83,U87,U88,U89,U82,U90,U81)</f>
        <v>0.36016501042320226</v>
      </c>
      <c r="X86">
        <f t="shared" si="30"/>
        <v>0.72</v>
      </c>
      <c r="Y86">
        <f t="shared" si="31"/>
        <v>0.82980833451395497</v>
      </c>
      <c r="Z86">
        <f t="shared" si="32"/>
        <v>0.77490416725697742</v>
      </c>
      <c r="AA86">
        <f t="shared" si="20"/>
        <v>0.85275342548928312</v>
      </c>
      <c r="AC86">
        <f t="shared" si="25"/>
        <v>1.9024874010807749</v>
      </c>
      <c r="AD86">
        <f t="shared" si="26"/>
        <v>1.9024874010807749</v>
      </c>
      <c r="AE86">
        <f t="shared" si="27"/>
        <v>1.9024874010807749</v>
      </c>
      <c r="AF86">
        <f t="shared" si="21"/>
        <v>1.8012912627254145</v>
      </c>
    </row>
    <row r="87" spans="1:32" x14ac:dyDescent="0.25">
      <c r="A87" s="4">
        <v>1761</v>
      </c>
      <c r="C87">
        <v>40</v>
      </c>
      <c r="D87">
        <v>70</v>
      </c>
      <c r="F87">
        <f t="shared" si="33"/>
        <v>0.4</v>
      </c>
      <c r="G87">
        <f t="shared" si="34"/>
        <v>0.7</v>
      </c>
      <c r="J87">
        <v>0.17</v>
      </c>
      <c r="K87">
        <v>0.41</v>
      </c>
      <c r="L87">
        <v>0.56999999999999995</v>
      </c>
      <c r="M87">
        <v>0.94</v>
      </c>
      <c r="N87">
        <f t="shared" si="10"/>
        <v>0.34406687040822526</v>
      </c>
      <c r="O87">
        <f t="shared" si="14"/>
        <v>0.82980833451395497</v>
      </c>
      <c r="P87">
        <f t="shared" si="11"/>
        <v>1.153635977251108</v>
      </c>
      <c r="Q87">
        <f t="shared" si="12"/>
        <v>1.9024874010807749</v>
      </c>
      <c r="S87">
        <f t="shared" si="22"/>
        <v>0.34406687040822526</v>
      </c>
      <c r="T87">
        <f t="shared" si="23"/>
        <v>0.4</v>
      </c>
      <c r="U87">
        <f t="shared" si="24"/>
        <v>0.37203343520411264</v>
      </c>
      <c r="V87">
        <f t="shared" si="35"/>
        <v>0.35517697180675584</v>
      </c>
      <c r="X87">
        <f t="shared" si="30"/>
        <v>0.7</v>
      </c>
      <c r="Y87">
        <f t="shared" si="31"/>
        <v>0.82980833451395497</v>
      </c>
      <c r="Z87">
        <f t="shared" si="32"/>
        <v>0.76490416725697741</v>
      </c>
      <c r="AA87">
        <f t="shared" si="20"/>
        <v>0.83469361857151525</v>
      </c>
      <c r="AC87">
        <f t="shared" si="25"/>
        <v>1.9024874010807749</v>
      </c>
      <c r="AD87">
        <f t="shared" si="26"/>
        <v>1.9024874010807749</v>
      </c>
      <c r="AE87">
        <f t="shared" si="27"/>
        <v>1.9024874010807749</v>
      </c>
      <c r="AF87">
        <f t="shared" si="21"/>
        <v>1.8444061203424478</v>
      </c>
    </row>
    <row r="88" spans="1:32" x14ac:dyDescent="0.25">
      <c r="A88" s="4">
        <v>1762</v>
      </c>
      <c r="C88">
        <v>42</v>
      </c>
      <c r="D88">
        <v>74</v>
      </c>
      <c r="F88">
        <f t="shared" si="33"/>
        <v>0.42</v>
      </c>
      <c r="G88">
        <f t="shared" si="34"/>
        <v>0.74</v>
      </c>
      <c r="J88">
        <v>0.17</v>
      </c>
      <c r="K88">
        <v>0.41</v>
      </c>
      <c r="L88">
        <v>0.56999999999999995</v>
      </c>
      <c r="M88">
        <v>0.94</v>
      </c>
      <c r="N88">
        <f t="shared" si="10"/>
        <v>0.34406687040822526</v>
      </c>
      <c r="O88">
        <f t="shared" si="14"/>
        <v>0.82980833451395497</v>
      </c>
      <c r="P88">
        <f t="shared" si="11"/>
        <v>1.153635977251108</v>
      </c>
      <c r="Q88">
        <f t="shared" si="12"/>
        <v>1.9024874010807749</v>
      </c>
      <c r="S88">
        <f t="shared" si="22"/>
        <v>0.34406687040822526</v>
      </c>
      <c r="T88">
        <f t="shared" si="23"/>
        <v>0.42</v>
      </c>
      <c r="U88">
        <f t="shared" si="24"/>
        <v>0.38203343520411259</v>
      </c>
      <c r="V88">
        <f t="shared" si="35"/>
        <v>0.34818893319030941</v>
      </c>
      <c r="X88">
        <f t="shared" si="30"/>
        <v>0.74</v>
      </c>
      <c r="Y88">
        <f t="shared" si="31"/>
        <v>0.82980833451395497</v>
      </c>
      <c r="Z88">
        <f t="shared" si="32"/>
        <v>0.78490416725697743</v>
      </c>
      <c r="AA88">
        <f t="shared" si="20"/>
        <v>0.81763381165374727</v>
      </c>
      <c r="AC88">
        <f t="shared" si="25"/>
        <v>1.9024874010807749</v>
      </c>
      <c r="AD88">
        <f t="shared" si="26"/>
        <v>1.9024874010807749</v>
      </c>
      <c r="AE88">
        <f t="shared" si="27"/>
        <v>1.9024874010807749</v>
      </c>
      <c r="AF88">
        <f t="shared" si="21"/>
        <v>1.8825209779594811</v>
      </c>
    </row>
    <row r="89" spans="1:32" x14ac:dyDescent="0.25">
      <c r="A89" s="4">
        <v>1763</v>
      </c>
      <c r="C89">
        <v>36</v>
      </c>
      <c r="D89">
        <v>76</v>
      </c>
      <c r="F89">
        <f t="shared" si="33"/>
        <v>0.36</v>
      </c>
      <c r="G89">
        <f t="shared" si="34"/>
        <v>0.76</v>
      </c>
      <c r="J89">
        <v>0.17</v>
      </c>
      <c r="K89">
        <v>0.41</v>
      </c>
      <c r="L89">
        <v>0.56999999999999995</v>
      </c>
      <c r="M89">
        <v>0.94</v>
      </c>
      <c r="N89">
        <f t="shared" si="10"/>
        <v>0.34406687040822526</v>
      </c>
      <c r="O89">
        <f t="shared" si="14"/>
        <v>0.82980833451395497</v>
      </c>
      <c r="P89">
        <f t="shared" si="11"/>
        <v>1.153635977251108</v>
      </c>
      <c r="Q89">
        <f t="shared" si="12"/>
        <v>1.9024874010807749</v>
      </c>
      <c r="S89">
        <f t="shared" si="22"/>
        <v>0.34406687040822526</v>
      </c>
      <c r="T89">
        <f t="shared" si="23"/>
        <v>0.36</v>
      </c>
      <c r="U89">
        <f t="shared" si="24"/>
        <v>0.35203343520411262</v>
      </c>
      <c r="V89">
        <f t="shared" si="35"/>
        <v>0.34420089457386305</v>
      </c>
      <c r="X89">
        <f t="shared" si="30"/>
        <v>0.76</v>
      </c>
      <c r="Y89">
        <f t="shared" si="31"/>
        <v>0.82980833451395497</v>
      </c>
      <c r="Z89">
        <f t="shared" si="32"/>
        <v>0.79490416725697743</v>
      </c>
      <c r="AA89">
        <f t="shared" si="20"/>
        <v>0.8205740047359793</v>
      </c>
      <c r="AC89">
        <f t="shared" si="25"/>
        <v>1.9024874010807749</v>
      </c>
      <c r="AD89">
        <f t="shared" si="26"/>
        <v>1.9024874010807749</v>
      </c>
      <c r="AE89">
        <f t="shared" si="27"/>
        <v>1.9024874010807749</v>
      </c>
      <c r="AF89">
        <f t="shared" si="21"/>
        <v>1.8866358355765147</v>
      </c>
    </row>
    <row r="90" spans="1:32" x14ac:dyDescent="0.25">
      <c r="A90" s="4">
        <v>1764</v>
      </c>
      <c r="C90">
        <v>30</v>
      </c>
      <c r="D90">
        <v>74</v>
      </c>
      <c r="F90">
        <f t="shared" si="33"/>
        <v>0.3</v>
      </c>
      <c r="G90">
        <f t="shared" si="34"/>
        <v>0.74</v>
      </c>
      <c r="J90">
        <v>0.17</v>
      </c>
      <c r="K90">
        <v>0.41</v>
      </c>
      <c r="L90">
        <v>0.56999999999999995</v>
      </c>
      <c r="M90">
        <v>0.94</v>
      </c>
      <c r="N90">
        <f t="shared" si="10"/>
        <v>0.34406687040822526</v>
      </c>
      <c r="O90">
        <f t="shared" si="14"/>
        <v>0.82980833451395497</v>
      </c>
      <c r="P90">
        <f t="shared" si="11"/>
        <v>1.153635977251108</v>
      </c>
      <c r="Q90">
        <f t="shared" si="12"/>
        <v>1.9024874010807749</v>
      </c>
      <c r="S90">
        <f t="shared" si="22"/>
        <v>0.3</v>
      </c>
      <c r="T90">
        <f t="shared" si="23"/>
        <v>0.34406687040822526</v>
      </c>
      <c r="U90">
        <f t="shared" si="24"/>
        <v>0.32203343520411265</v>
      </c>
      <c r="V90">
        <f t="shared" si="35"/>
        <v>0.33821285595741674</v>
      </c>
      <c r="X90">
        <f t="shared" si="30"/>
        <v>0.74</v>
      </c>
      <c r="Y90">
        <f t="shared" si="31"/>
        <v>0.82980833451395497</v>
      </c>
      <c r="Z90">
        <f t="shared" si="32"/>
        <v>0.78490416725697743</v>
      </c>
      <c r="AA90">
        <f t="shared" si="20"/>
        <v>0.82751419781821123</v>
      </c>
      <c r="AC90">
        <f t="shared" si="25"/>
        <v>1.9024874010807749</v>
      </c>
      <c r="AD90">
        <f t="shared" si="26"/>
        <v>1.9024874010807749</v>
      </c>
      <c r="AE90">
        <f t="shared" si="27"/>
        <v>1.9024874010807749</v>
      </c>
      <c r="AF90">
        <f t="shared" si="21"/>
        <v>1.8867506931935476</v>
      </c>
    </row>
    <row r="91" spans="1:32" x14ac:dyDescent="0.25">
      <c r="A91" s="4">
        <v>1765</v>
      </c>
      <c r="C91">
        <v>30</v>
      </c>
      <c r="D91">
        <v>78</v>
      </c>
      <c r="E91">
        <v>236</v>
      </c>
      <c r="F91">
        <f t="shared" si="33"/>
        <v>0.3</v>
      </c>
      <c r="G91">
        <f t="shared" si="34"/>
        <v>0.78</v>
      </c>
      <c r="H91">
        <f t="shared" ref="H91:H107" si="36">E91/100</f>
        <v>2.36</v>
      </c>
      <c r="J91">
        <v>0.17</v>
      </c>
      <c r="K91">
        <v>0.41</v>
      </c>
      <c r="L91">
        <v>0.56999999999999995</v>
      </c>
      <c r="M91">
        <v>0.94</v>
      </c>
      <c r="N91">
        <f t="shared" ref="N91:N120" si="37">J91/0.49409</f>
        <v>0.34406687040822526</v>
      </c>
      <c r="O91">
        <f t="shared" ref="O91:O120" si="38">K91/0.49409</f>
        <v>0.82980833451395497</v>
      </c>
      <c r="P91">
        <f t="shared" ref="P91:P120" si="39">L91/0.49409</f>
        <v>1.153635977251108</v>
      </c>
      <c r="Q91">
        <f t="shared" ref="Q91:Q120" si="40">M91/0.49409</f>
        <v>1.9024874010807749</v>
      </c>
      <c r="S91">
        <f t="shared" si="22"/>
        <v>0.3</v>
      </c>
      <c r="T91">
        <f t="shared" si="23"/>
        <v>0.34406687040822526</v>
      </c>
      <c r="U91">
        <f t="shared" si="24"/>
        <v>0.32203343520411265</v>
      </c>
      <c r="V91">
        <f t="shared" si="35"/>
        <v>0.33803343520411266</v>
      </c>
      <c r="X91">
        <f t="shared" si="30"/>
        <v>0.78</v>
      </c>
      <c r="Y91">
        <f t="shared" si="31"/>
        <v>0.82980833451395497</v>
      </c>
      <c r="Z91">
        <f t="shared" si="32"/>
        <v>0.80490416725697744</v>
      </c>
      <c r="AA91">
        <f t="shared" si="20"/>
        <v>0.82790416725697757</v>
      </c>
      <c r="AC91">
        <f t="shared" si="25"/>
        <v>1.9024874010807749</v>
      </c>
      <c r="AD91">
        <f t="shared" si="26"/>
        <v>2.36</v>
      </c>
      <c r="AE91">
        <f t="shared" si="27"/>
        <v>2.1312437005403875</v>
      </c>
      <c r="AF91">
        <f t="shared" si="21"/>
        <v>1.8788655508105812</v>
      </c>
    </row>
    <row r="92" spans="1:32" x14ac:dyDescent="0.25">
      <c r="A92" s="4">
        <v>1766</v>
      </c>
      <c r="C92">
        <v>26</v>
      </c>
      <c r="D92">
        <v>78</v>
      </c>
      <c r="E92">
        <v>226</v>
      </c>
      <c r="F92">
        <f t="shared" si="33"/>
        <v>0.26</v>
      </c>
      <c r="G92">
        <f t="shared" si="34"/>
        <v>0.78</v>
      </c>
      <c r="H92">
        <f t="shared" si="36"/>
        <v>2.2599999999999998</v>
      </c>
      <c r="J92">
        <v>0.17</v>
      </c>
      <c r="K92">
        <v>0.41</v>
      </c>
      <c r="L92">
        <v>0.56999999999999995</v>
      </c>
      <c r="M92">
        <v>0.94</v>
      </c>
      <c r="N92">
        <f t="shared" si="37"/>
        <v>0.34406687040822526</v>
      </c>
      <c r="O92">
        <f t="shared" si="38"/>
        <v>0.82980833451395497</v>
      </c>
      <c r="P92">
        <f t="shared" si="39"/>
        <v>1.153635977251108</v>
      </c>
      <c r="Q92">
        <f t="shared" si="40"/>
        <v>1.9024874010807749</v>
      </c>
      <c r="S92">
        <f t="shared" si="22"/>
        <v>0.26</v>
      </c>
      <c r="T92">
        <f t="shared" si="23"/>
        <v>0.34406687040822526</v>
      </c>
      <c r="U92">
        <f t="shared" si="24"/>
        <v>0.30203343520411263</v>
      </c>
      <c r="V92">
        <f t="shared" si="35"/>
        <v>0.33704539658766625</v>
      </c>
      <c r="X92">
        <f t="shared" si="30"/>
        <v>0.78</v>
      </c>
      <c r="Y92">
        <f t="shared" si="31"/>
        <v>0.82980833451395497</v>
      </c>
      <c r="Z92">
        <f t="shared" si="32"/>
        <v>0.80490416725697744</v>
      </c>
      <c r="AA92">
        <f t="shared" si="20"/>
        <v>0.84688024448987009</v>
      </c>
      <c r="AC92">
        <f t="shared" si="25"/>
        <v>1.9024874010807749</v>
      </c>
      <c r="AD92">
        <f t="shared" si="26"/>
        <v>2.2599999999999998</v>
      </c>
      <c r="AE92">
        <f t="shared" si="27"/>
        <v>2.0812437005403872</v>
      </c>
      <c r="AF92">
        <f t="shared" si="21"/>
        <v>1.8477292193729891</v>
      </c>
    </row>
    <row r="93" spans="1:32" x14ac:dyDescent="0.25">
      <c r="A93" s="4">
        <v>1767</v>
      </c>
      <c r="C93">
        <v>30</v>
      </c>
      <c r="D93">
        <v>94</v>
      </c>
      <c r="E93">
        <v>158</v>
      </c>
      <c r="F93">
        <f t="shared" si="33"/>
        <v>0.3</v>
      </c>
      <c r="G93">
        <f t="shared" si="34"/>
        <v>0.94</v>
      </c>
      <c r="H93">
        <f t="shared" si="36"/>
        <v>1.58</v>
      </c>
      <c r="J93">
        <v>0.17</v>
      </c>
      <c r="K93">
        <v>0.41</v>
      </c>
      <c r="L93">
        <v>0.56999999999999995</v>
      </c>
      <c r="M93">
        <v>0.94</v>
      </c>
      <c r="N93">
        <f t="shared" si="37"/>
        <v>0.34406687040822526</v>
      </c>
      <c r="O93">
        <f t="shared" si="38"/>
        <v>0.82980833451395497</v>
      </c>
      <c r="P93">
        <f t="shared" si="39"/>
        <v>1.153635977251108</v>
      </c>
      <c r="Q93">
        <f t="shared" si="40"/>
        <v>1.9024874010807749</v>
      </c>
      <c r="S93">
        <f t="shared" si="22"/>
        <v>0.3</v>
      </c>
      <c r="T93">
        <f t="shared" si="23"/>
        <v>0.34406687040822526</v>
      </c>
      <c r="U93">
        <f t="shared" si="24"/>
        <v>0.32203343520411265</v>
      </c>
      <c r="V93">
        <f t="shared" si="35"/>
        <v>0.33505735797121983</v>
      </c>
      <c r="X93">
        <f t="shared" si="30"/>
        <v>0.82980833451395497</v>
      </c>
      <c r="Y93">
        <f t="shared" si="31"/>
        <v>0.94</v>
      </c>
      <c r="Z93">
        <f t="shared" si="32"/>
        <v>0.88490416725697751</v>
      </c>
      <c r="AA93">
        <f t="shared" si="20"/>
        <v>0.86485632172276294</v>
      </c>
      <c r="AC93">
        <f t="shared" si="25"/>
        <v>1.58</v>
      </c>
      <c r="AD93">
        <f t="shared" si="26"/>
        <v>1.9024874010807749</v>
      </c>
      <c r="AE93">
        <f t="shared" si="27"/>
        <v>1.7412437005403874</v>
      </c>
      <c r="AF93">
        <f t="shared" si="21"/>
        <v>1.8215928879353966</v>
      </c>
    </row>
    <row r="94" spans="1:32" x14ac:dyDescent="0.25">
      <c r="A94" s="4">
        <v>1768</v>
      </c>
      <c r="C94">
        <v>32</v>
      </c>
      <c r="D94">
        <v>106</v>
      </c>
      <c r="E94">
        <v>150</v>
      </c>
      <c r="F94">
        <f t="shared" si="33"/>
        <v>0.32</v>
      </c>
      <c r="G94">
        <f t="shared" si="34"/>
        <v>1.06</v>
      </c>
      <c r="H94">
        <f t="shared" si="36"/>
        <v>1.5</v>
      </c>
      <c r="J94">
        <v>0.17</v>
      </c>
      <c r="K94">
        <v>0.41</v>
      </c>
      <c r="L94">
        <v>0.56999999999999995</v>
      </c>
      <c r="M94">
        <v>0.94</v>
      </c>
      <c r="N94">
        <f t="shared" si="37"/>
        <v>0.34406687040822526</v>
      </c>
      <c r="O94">
        <f t="shared" si="38"/>
        <v>0.82980833451395497</v>
      </c>
      <c r="P94">
        <f t="shared" si="39"/>
        <v>1.153635977251108</v>
      </c>
      <c r="Q94">
        <f t="shared" si="40"/>
        <v>1.9024874010807749</v>
      </c>
      <c r="S94">
        <f t="shared" si="22"/>
        <v>0.32</v>
      </c>
      <c r="T94">
        <f t="shared" si="23"/>
        <v>0.34406687040822526</v>
      </c>
      <c r="U94">
        <f t="shared" si="24"/>
        <v>0.33203343520411266</v>
      </c>
      <c r="V94">
        <f t="shared" si="35"/>
        <v>0.33006931935477346</v>
      </c>
      <c r="X94">
        <f t="shared" si="30"/>
        <v>0.82980833451395497</v>
      </c>
      <c r="Y94">
        <f t="shared" si="31"/>
        <v>1.06</v>
      </c>
      <c r="Z94">
        <f t="shared" si="32"/>
        <v>0.94490416725697757</v>
      </c>
      <c r="AA94">
        <f t="shared" si="20"/>
        <v>0.8718323989556559</v>
      </c>
      <c r="AC94">
        <f t="shared" si="25"/>
        <v>1.5</v>
      </c>
      <c r="AD94">
        <f t="shared" si="26"/>
        <v>1.9024874010807749</v>
      </c>
      <c r="AE94">
        <f t="shared" si="27"/>
        <v>1.7012437005403873</v>
      </c>
      <c r="AF94">
        <f t="shared" si="21"/>
        <v>1.7954565564978044</v>
      </c>
    </row>
    <row r="95" spans="1:32" x14ac:dyDescent="0.25">
      <c r="A95" s="4">
        <v>1769</v>
      </c>
      <c r="C95">
        <v>30</v>
      </c>
      <c r="D95">
        <v>104</v>
      </c>
      <c r="E95">
        <v>134</v>
      </c>
      <c r="F95">
        <f t="shared" si="33"/>
        <v>0.3</v>
      </c>
      <c r="G95">
        <f t="shared" si="34"/>
        <v>1.04</v>
      </c>
      <c r="H95">
        <f t="shared" si="36"/>
        <v>1.34</v>
      </c>
      <c r="J95">
        <v>0.17</v>
      </c>
      <c r="K95">
        <v>0.41</v>
      </c>
      <c r="L95">
        <v>0.56999999999999995</v>
      </c>
      <c r="M95">
        <v>0.94</v>
      </c>
      <c r="N95">
        <f t="shared" si="37"/>
        <v>0.34406687040822526</v>
      </c>
      <c r="O95">
        <f t="shared" si="38"/>
        <v>0.82980833451395497</v>
      </c>
      <c r="P95">
        <f t="shared" si="39"/>
        <v>1.153635977251108</v>
      </c>
      <c r="Q95">
        <f t="shared" si="40"/>
        <v>1.9024874010807749</v>
      </c>
      <c r="S95">
        <f t="shared" si="22"/>
        <v>0.3</v>
      </c>
      <c r="T95">
        <f t="shared" si="23"/>
        <v>0.34406687040822526</v>
      </c>
      <c r="U95">
        <f t="shared" si="24"/>
        <v>0.32203343520411265</v>
      </c>
      <c r="V95">
        <f t="shared" si="35"/>
        <v>0.32808128073832704</v>
      </c>
      <c r="X95">
        <f t="shared" si="30"/>
        <v>0.82980833451395497</v>
      </c>
      <c r="Y95">
        <f t="shared" si="31"/>
        <v>1.04</v>
      </c>
      <c r="Z95">
        <f t="shared" si="32"/>
        <v>0.93490416725697756</v>
      </c>
      <c r="AA95">
        <f t="shared" si="20"/>
        <v>0.86980847618854873</v>
      </c>
      <c r="AC95">
        <f t="shared" si="25"/>
        <v>1.34</v>
      </c>
      <c r="AD95">
        <f t="shared" si="26"/>
        <v>1.9024874010807749</v>
      </c>
      <c r="AE95">
        <f t="shared" si="27"/>
        <v>1.6212437005403875</v>
      </c>
      <c r="AF95">
        <f t="shared" si="21"/>
        <v>1.7823202250602119</v>
      </c>
    </row>
    <row r="96" spans="1:32" x14ac:dyDescent="0.25">
      <c r="A96" s="4">
        <v>1770</v>
      </c>
      <c r="C96">
        <v>32</v>
      </c>
      <c r="D96">
        <v>114</v>
      </c>
      <c r="E96">
        <v>130</v>
      </c>
      <c r="F96">
        <f t="shared" si="33"/>
        <v>0.32</v>
      </c>
      <c r="G96">
        <f t="shared" si="34"/>
        <v>1.1399999999999999</v>
      </c>
      <c r="H96">
        <f t="shared" si="36"/>
        <v>1.3</v>
      </c>
      <c r="J96">
        <v>0.18</v>
      </c>
      <c r="K96">
        <v>0.39</v>
      </c>
      <c r="L96">
        <v>0.39</v>
      </c>
      <c r="M96">
        <v>0.93</v>
      </c>
      <c r="N96">
        <f t="shared" si="37"/>
        <v>0.36430609807929731</v>
      </c>
      <c r="O96">
        <f t="shared" si="38"/>
        <v>0.78932987917181086</v>
      </c>
      <c r="P96">
        <f t="shared" si="39"/>
        <v>0.78932987917181086</v>
      </c>
      <c r="Q96">
        <f t="shared" si="40"/>
        <v>1.882248173409703</v>
      </c>
      <c r="S96">
        <f t="shared" si="22"/>
        <v>0.32</v>
      </c>
      <c r="T96">
        <f t="shared" si="23"/>
        <v>0.36430609807929731</v>
      </c>
      <c r="U96">
        <f t="shared" si="24"/>
        <v>0.34215304903964866</v>
      </c>
      <c r="V96">
        <f t="shared" si="35"/>
        <v>0.33009324212188063</v>
      </c>
      <c r="X96">
        <f t="shared" si="30"/>
        <v>0.78932987917181086</v>
      </c>
      <c r="Y96">
        <f t="shared" si="31"/>
        <v>1.1399999999999999</v>
      </c>
      <c r="Z96">
        <f t="shared" si="32"/>
        <v>0.96466493958590538</v>
      </c>
      <c r="AA96">
        <f t="shared" si="20"/>
        <v>0.86378455342144156</v>
      </c>
      <c r="AC96">
        <f t="shared" si="25"/>
        <v>1.3</v>
      </c>
      <c r="AD96">
        <f t="shared" si="26"/>
        <v>1.882248173409703</v>
      </c>
      <c r="AE96">
        <f t="shared" si="27"/>
        <v>1.5911240867048515</v>
      </c>
      <c r="AF96">
        <f t="shared" si="21"/>
        <v>1.7801838936226193</v>
      </c>
    </row>
    <row r="97" spans="1:32" x14ac:dyDescent="0.25">
      <c r="A97" s="4">
        <v>1771</v>
      </c>
      <c r="C97">
        <v>34</v>
      </c>
      <c r="D97">
        <v>110</v>
      </c>
      <c r="E97">
        <v>140</v>
      </c>
      <c r="F97">
        <f t="shared" si="33"/>
        <v>0.34</v>
      </c>
      <c r="G97">
        <f t="shared" si="34"/>
        <v>1.1000000000000001</v>
      </c>
      <c r="H97">
        <f t="shared" si="36"/>
        <v>1.4</v>
      </c>
      <c r="J97">
        <v>0.18</v>
      </c>
      <c r="K97">
        <v>0.39</v>
      </c>
      <c r="L97">
        <v>0.39</v>
      </c>
      <c r="M97">
        <v>0.93</v>
      </c>
      <c r="N97">
        <f t="shared" si="37"/>
        <v>0.36430609807929731</v>
      </c>
      <c r="O97">
        <f t="shared" si="38"/>
        <v>0.78932987917181086</v>
      </c>
      <c r="P97">
        <f t="shared" si="39"/>
        <v>0.78932987917181086</v>
      </c>
      <c r="Q97">
        <f t="shared" si="40"/>
        <v>1.882248173409703</v>
      </c>
      <c r="S97">
        <f t="shared" si="22"/>
        <v>0.34</v>
      </c>
      <c r="T97">
        <f t="shared" si="23"/>
        <v>0.36430609807929731</v>
      </c>
      <c r="U97">
        <f t="shared" si="24"/>
        <v>0.35215304903964867</v>
      </c>
      <c r="V97">
        <f t="shared" si="35"/>
        <v>0.33210520350543421</v>
      </c>
      <c r="X97">
        <f t="shared" si="30"/>
        <v>0.78932987917181086</v>
      </c>
      <c r="Y97">
        <f t="shared" si="31"/>
        <v>1.1000000000000001</v>
      </c>
      <c r="Z97">
        <f t="shared" si="32"/>
        <v>0.94466493958590547</v>
      </c>
      <c r="AA97">
        <f t="shared" si="20"/>
        <v>0.85076063065433427</v>
      </c>
      <c r="AC97">
        <f t="shared" si="25"/>
        <v>1.4</v>
      </c>
      <c r="AD97">
        <f t="shared" si="26"/>
        <v>1.882248173409703</v>
      </c>
      <c r="AE97">
        <f t="shared" si="27"/>
        <v>1.6411240867048513</v>
      </c>
      <c r="AF97">
        <f t="shared" si="21"/>
        <v>1.7791719322390656</v>
      </c>
    </row>
    <row r="98" spans="1:32" x14ac:dyDescent="0.25">
      <c r="A98" s="4">
        <v>1772</v>
      </c>
      <c r="C98">
        <v>30</v>
      </c>
      <c r="D98">
        <v>92</v>
      </c>
      <c r="E98">
        <v>140</v>
      </c>
      <c r="F98">
        <f t="shared" si="33"/>
        <v>0.3</v>
      </c>
      <c r="G98">
        <f t="shared" si="34"/>
        <v>0.92</v>
      </c>
      <c r="H98">
        <f t="shared" si="36"/>
        <v>1.4</v>
      </c>
      <c r="J98">
        <v>0.18</v>
      </c>
      <c r="K98">
        <v>0.39</v>
      </c>
      <c r="L98">
        <v>0.39</v>
      </c>
      <c r="M98">
        <v>0.93</v>
      </c>
      <c r="N98">
        <f t="shared" si="37"/>
        <v>0.36430609807929731</v>
      </c>
      <c r="O98">
        <f t="shared" si="38"/>
        <v>0.78932987917181086</v>
      </c>
      <c r="P98">
        <f t="shared" si="39"/>
        <v>0.78932987917181086</v>
      </c>
      <c r="Q98">
        <f t="shared" si="40"/>
        <v>1.882248173409703</v>
      </c>
      <c r="S98">
        <f t="shared" si="22"/>
        <v>0.3</v>
      </c>
      <c r="T98">
        <f t="shared" si="23"/>
        <v>0.36430609807929731</v>
      </c>
      <c r="U98">
        <f t="shared" si="24"/>
        <v>0.33215304903964865</v>
      </c>
      <c r="V98">
        <f t="shared" si="35"/>
        <v>0.3361171648889878</v>
      </c>
      <c r="X98">
        <f t="shared" si="30"/>
        <v>0.78932987917181086</v>
      </c>
      <c r="Y98">
        <f t="shared" si="31"/>
        <v>0.92</v>
      </c>
      <c r="Z98">
        <f t="shared" si="32"/>
        <v>0.85466493958590539</v>
      </c>
      <c r="AA98">
        <f t="shared" si="20"/>
        <v>0.83973670788722699</v>
      </c>
      <c r="AC98">
        <f t="shared" si="25"/>
        <v>1.4</v>
      </c>
      <c r="AD98">
        <f t="shared" si="26"/>
        <v>1.882248173409703</v>
      </c>
      <c r="AE98">
        <f t="shared" si="27"/>
        <v>1.6411240867048513</v>
      </c>
      <c r="AF98">
        <f t="shared" si="21"/>
        <v>1.7811599708555117</v>
      </c>
    </row>
    <row r="99" spans="1:32" x14ac:dyDescent="0.25">
      <c r="A99" s="4">
        <v>1773</v>
      </c>
      <c r="C99">
        <v>30</v>
      </c>
      <c r="D99">
        <v>76</v>
      </c>
      <c r="E99">
        <v>166</v>
      </c>
      <c r="F99">
        <f t="shared" si="33"/>
        <v>0.3</v>
      </c>
      <c r="G99">
        <f t="shared" si="34"/>
        <v>0.76</v>
      </c>
      <c r="H99">
        <f t="shared" si="36"/>
        <v>1.66</v>
      </c>
      <c r="J99">
        <v>0.18</v>
      </c>
      <c r="K99">
        <v>0.39</v>
      </c>
      <c r="L99">
        <v>0.39</v>
      </c>
      <c r="M99">
        <v>0.93</v>
      </c>
      <c r="N99">
        <f t="shared" si="37"/>
        <v>0.36430609807929731</v>
      </c>
      <c r="O99">
        <f t="shared" si="38"/>
        <v>0.78932987917181086</v>
      </c>
      <c r="P99">
        <f t="shared" si="39"/>
        <v>0.78932987917181086</v>
      </c>
      <c r="Q99">
        <f t="shared" si="40"/>
        <v>1.882248173409703</v>
      </c>
      <c r="S99">
        <f t="shared" si="22"/>
        <v>0.3</v>
      </c>
      <c r="T99">
        <f t="shared" si="23"/>
        <v>0.36430609807929731</v>
      </c>
      <c r="U99">
        <f t="shared" si="24"/>
        <v>0.33215304903964865</v>
      </c>
      <c r="V99">
        <f t="shared" si="35"/>
        <v>0.34212912627254144</v>
      </c>
      <c r="X99">
        <f t="shared" si="30"/>
        <v>0.76</v>
      </c>
      <c r="Y99">
        <f t="shared" si="31"/>
        <v>0.78932987917181086</v>
      </c>
      <c r="Z99">
        <f t="shared" si="32"/>
        <v>0.77466493958590543</v>
      </c>
      <c r="AA99">
        <f t="shared" si="20"/>
        <v>0.8197127851201198</v>
      </c>
      <c r="AC99">
        <f t="shared" si="25"/>
        <v>1.66</v>
      </c>
      <c r="AD99">
        <f t="shared" si="26"/>
        <v>1.882248173409703</v>
      </c>
      <c r="AE99">
        <f t="shared" si="27"/>
        <v>1.7711240867048514</v>
      </c>
      <c r="AF99">
        <f t="shared" si="21"/>
        <v>1.8201480094719589</v>
      </c>
    </row>
    <row r="100" spans="1:32" x14ac:dyDescent="0.25">
      <c r="A100" s="4">
        <v>1774</v>
      </c>
      <c r="C100">
        <v>32</v>
      </c>
      <c r="D100">
        <v>66</v>
      </c>
      <c r="E100">
        <v>188</v>
      </c>
      <c r="F100">
        <f t="shared" si="33"/>
        <v>0.32</v>
      </c>
      <c r="G100">
        <f t="shared" si="34"/>
        <v>0.66</v>
      </c>
      <c r="H100">
        <f t="shared" si="36"/>
        <v>1.88</v>
      </c>
      <c r="J100">
        <v>0.18</v>
      </c>
      <c r="K100">
        <v>0.39</v>
      </c>
      <c r="L100">
        <v>0.39</v>
      </c>
      <c r="M100">
        <v>0.93</v>
      </c>
      <c r="N100">
        <f t="shared" si="37"/>
        <v>0.36430609807929731</v>
      </c>
      <c r="O100">
        <f t="shared" si="38"/>
        <v>0.78932987917181086</v>
      </c>
      <c r="P100">
        <f t="shared" si="39"/>
        <v>0.78932987917181086</v>
      </c>
      <c r="Q100">
        <f t="shared" si="40"/>
        <v>1.882248173409703</v>
      </c>
      <c r="S100">
        <f t="shared" si="22"/>
        <v>0.32</v>
      </c>
      <c r="T100">
        <f t="shared" si="23"/>
        <v>0.36430609807929731</v>
      </c>
      <c r="U100">
        <f t="shared" si="24"/>
        <v>0.34215304903964866</v>
      </c>
      <c r="V100">
        <f t="shared" si="35"/>
        <v>0.35314108765609503</v>
      </c>
      <c r="X100">
        <f t="shared" si="30"/>
        <v>0.66</v>
      </c>
      <c r="Y100">
        <f t="shared" si="31"/>
        <v>0.78932987917181086</v>
      </c>
      <c r="Z100">
        <f t="shared" si="32"/>
        <v>0.7246649395859055</v>
      </c>
      <c r="AA100">
        <f t="shared" si="20"/>
        <v>0.79768886235301273</v>
      </c>
      <c r="AC100">
        <f t="shared" si="25"/>
        <v>1.88</v>
      </c>
      <c r="AD100">
        <f t="shared" si="26"/>
        <v>1.882248173409703</v>
      </c>
      <c r="AE100">
        <f t="shared" si="27"/>
        <v>1.8811240867048515</v>
      </c>
      <c r="AF100">
        <f t="shared" si="21"/>
        <v>1.8491360480884047</v>
      </c>
    </row>
    <row r="101" spans="1:32" x14ac:dyDescent="0.25">
      <c r="A101" s="4">
        <v>1775</v>
      </c>
      <c r="C101">
        <v>32</v>
      </c>
      <c r="D101">
        <v>56</v>
      </c>
      <c r="E101">
        <v>236</v>
      </c>
      <c r="F101">
        <f t="shared" si="33"/>
        <v>0.32</v>
      </c>
      <c r="G101">
        <f t="shared" si="34"/>
        <v>0.56000000000000005</v>
      </c>
      <c r="H101">
        <f t="shared" si="36"/>
        <v>2.36</v>
      </c>
      <c r="J101">
        <v>0.18</v>
      </c>
      <c r="K101">
        <v>0.39</v>
      </c>
      <c r="L101">
        <v>0.39</v>
      </c>
      <c r="M101">
        <v>0.93</v>
      </c>
      <c r="N101">
        <f t="shared" si="37"/>
        <v>0.36430609807929731</v>
      </c>
      <c r="O101">
        <f t="shared" si="38"/>
        <v>0.78932987917181086</v>
      </c>
      <c r="P101">
        <f t="shared" si="39"/>
        <v>0.78932987917181086</v>
      </c>
      <c r="Q101">
        <f t="shared" si="40"/>
        <v>1.882248173409703</v>
      </c>
      <c r="S101">
        <f t="shared" si="22"/>
        <v>0.32</v>
      </c>
      <c r="T101">
        <f t="shared" si="23"/>
        <v>0.36430609807929731</v>
      </c>
      <c r="U101">
        <f t="shared" si="24"/>
        <v>0.34215304903964866</v>
      </c>
      <c r="V101">
        <f t="shared" si="35"/>
        <v>0.36615304903964863</v>
      </c>
      <c r="X101">
        <f t="shared" si="30"/>
        <v>0.56000000000000005</v>
      </c>
      <c r="Y101">
        <f t="shared" si="31"/>
        <v>0.78932987917181086</v>
      </c>
      <c r="Z101">
        <f t="shared" si="32"/>
        <v>0.67466493958590545</v>
      </c>
      <c r="AA101">
        <f t="shared" si="20"/>
        <v>0.77966493958590544</v>
      </c>
      <c r="AC101">
        <f t="shared" si="25"/>
        <v>1.882248173409703</v>
      </c>
      <c r="AD101">
        <f t="shared" si="26"/>
        <v>2.36</v>
      </c>
      <c r="AE101">
        <f t="shared" si="27"/>
        <v>2.1211240867048513</v>
      </c>
      <c r="AF101">
        <f t="shared" si="21"/>
        <v>1.8741240867048514</v>
      </c>
    </row>
    <row r="102" spans="1:32" x14ac:dyDescent="0.25">
      <c r="A102" s="4">
        <v>1776</v>
      </c>
      <c r="C102">
        <v>32</v>
      </c>
      <c r="D102">
        <v>60</v>
      </c>
      <c r="E102">
        <v>232</v>
      </c>
      <c r="F102">
        <f t="shared" si="33"/>
        <v>0.32</v>
      </c>
      <c r="G102">
        <f t="shared" si="34"/>
        <v>0.6</v>
      </c>
      <c r="H102">
        <f t="shared" si="36"/>
        <v>2.3199999999999998</v>
      </c>
      <c r="J102">
        <v>0.18</v>
      </c>
      <c r="K102">
        <v>0.39</v>
      </c>
      <c r="L102">
        <v>0.39</v>
      </c>
      <c r="M102">
        <v>0.93</v>
      </c>
      <c r="N102">
        <f t="shared" si="37"/>
        <v>0.36430609807929731</v>
      </c>
      <c r="O102">
        <f t="shared" si="38"/>
        <v>0.78932987917181086</v>
      </c>
      <c r="P102">
        <f t="shared" si="39"/>
        <v>0.78932987917181086</v>
      </c>
      <c r="Q102">
        <f t="shared" si="40"/>
        <v>1.882248173409703</v>
      </c>
      <c r="S102">
        <f t="shared" si="22"/>
        <v>0.32</v>
      </c>
      <c r="T102">
        <f t="shared" si="23"/>
        <v>0.36430609807929731</v>
      </c>
      <c r="U102">
        <f t="shared" si="24"/>
        <v>0.34215304903964866</v>
      </c>
      <c r="V102">
        <f t="shared" si="35"/>
        <v>0.37917697180675586</v>
      </c>
      <c r="X102">
        <f t="shared" si="30"/>
        <v>0.6</v>
      </c>
      <c r="Y102">
        <f t="shared" si="31"/>
        <v>0.78932987917181086</v>
      </c>
      <c r="Z102">
        <f t="shared" si="32"/>
        <v>0.69466493958590547</v>
      </c>
      <c r="AA102">
        <f t="shared" si="20"/>
        <v>0.7778563217227632</v>
      </c>
      <c r="AC102">
        <f t="shared" si="25"/>
        <v>1.882248173409703</v>
      </c>
      <c r="AD102">
        <f t="shared" si="26"/>
        <v>2.3199999999999998</v>
      </c>
      <c r="AE102">
        <f t="shared" si="27"/>
        <v>2.1011240867048513</v>
      </c>
      <c r="AF102">
        <f t="shared" si="21"/>
        <v>1.9334231212936914</v>
      </c>
    </row>
    <row r="103" spans="1:32" x14ac:dyDescent="0.25">
      <c r="A103" s="4">
        <v>1777</v>
      </c>
      <c r="C103">
        <v>40</v>
      </c>
      <c r="D103">
        <v>58</v>
      </c>
      <c r="E103">
        <v>238</v>
      </c>
      <c r="F103">
        <f t="shared" si="33"/>
        <v>0.4</v>
      </c>
      <c r="G103">
        <f t="shared" si="34"/>
        <v>0.57999999999999996</v>
      </c>
      <c r="H103">
        <f t="shared" si="36"/>
        <v>2.38</v>
      </c>
      <c r="J103">
        <v>0.18</v>
      </c>
      <c r="K103">
        <v>0.39</v>
      </c>
      <c r="L103">
        <v>0.39</v>
      </c>
      <c r="M103">
        <v>0.93</v>
      </c>
      <c r="N103">
        <f t="shared" si="37"/>
        <v>0.36430609807929731</v>
      </c>
      <c r="O103">
        <f t="shared" si="38"/>
        <v>0.78932987917181086</v>
      </c>
      <c r="P103">
        <f t="shared" si="39"/>
        <v>0.78932987917181086</v>
      </c>
      <c r="Q103">
        <f t="shared" si="40"/>
        <v>1.882248173409703</v>
      </c>
      <c r="S103">
        <f t="shared" si="22"/>
        <v>0.36430609807929731</v>
      </c>
      <c r="T103">
        <f t="shared" si="23"/>
        <v>0.4</v>
      </c>
      <c r="U103">
        <f t="shared" si="24"/>
        <v>0.38215304903964864</v>
      </c>
      <c r="V103">
        <f t="shared" si="35"/>
        <v>0.39320089457386309</v>
      </c>
      <c r="X103">
        <f t="shared" si="30"/>
        <v>0.57999999999999996</v>
      </c>
      <c r="Y103">
        <f t="shared" si="31"/>
        <v>0.78932987917181086</v>
      </c>
      <c r="Z103">
        <f t="shared" si="32"/>
        <v>0.68466493958590546</v>
      </c>
      <c r="AA103">
        <f t="shared" si="20"/>
        <v>0.80604770385962077</v>
      </c>
      <c r="AC103">
        <f t="shared" si="25"/>
        <v>1.882248173409703</v>
      </c>
      <c r="AD103">
        <f t="shared" si="26"/>
        <v>2.38</v>
      </c>
      <c r="AE103">
        <f t="shared" si="27"/>
        <v>2.1311240867048515</v>
      </c>
      <c r="AF103">
        <f t="shared" si="21"/>
        <v>2.0287221558825315</v>
      </c>
    </row>
    <row r="104" spans="1:32" x14ac:dyDescent="0.25">
      <c r="A104" s="4">
        <v>1778</v>
      </c>
      <c r="C104">
        <v>52</v>
      </c>
      <c r="D104">
        <v>66</v>
      </c>
      <c r="E104">
        <v>210</v>
      </c>
      <c r="F104">
        <f t="shared" si="33"/>
        <v>0.52</v>
      </c>
      <c r="G104">
        <f t="shared" si="34"/>
        <v>0.66</v>
      </c>
      <c r="H104">
        <f t="shared" si="36"/>
        <v>2.1</v>
      </c>
      <c r="J104">
        <v>0.18</v>
      </c>
      <c r="K104">
        <v>0.39</v>
      </c>
      <c r="L104">
        <v>0.39</v>
      </c>
      <c r="M104">
        <v>0.93</v>
      </c>
      <c r="N104">
        <f t="shared" si="37"/>
        <v>0.36430609807929731</v>
      </c>
      <c r="O104">
        <f t="shared" si="38"/>
        <v>0.78932987917181086</v>
      </c>
      <c r="P104">
        <f t="shared" si="39"/>
        <v>0.78932987917181086</v>
      </c>
      <c r="Q104">
        <f t="shared" si="40"/>
        <v>1.882248173409703</v>
      </c>
      <c r="S104">
        <f t="shared" si="22"/>
        <v>0.36430609807929731</v>
      </c>
      <c r="T104">
        <f t="shared" si="23"/>
        <v>0.52</v>
      </c>
      <c r="U104">
        <f t="shared" si="24"/>
        <v>0.44215304903964869</v>
      </c>
      <c r="V104">
        <f t="shared" si="35"/>
        <v>0.4004640450120423</v>
      </c>
      <c r="X104">
        <f t="shared" si="30"/>
        <v>0.66</v>
      </c>
      <c r="Y104">
        <f t="shared" si="31"/>
        <v>0.78932987917181086</v>
      </c>
      <c r="Z104">
        <f t="shared" si="32"/>
        <v>0.7246649395859055</v>
      </c>
      <c r="AA104">
        <f t="shared" si="20"/>
        <v>0.85423908599647846</v>
      </c>
      <c r="AC104">
        <f t="shared" si="25"/>
        <v>1.882248173409703</v>
      </c>
      <c r="AD104">
        <f t="shared" si="26"/>
        <v>2.1</v>
      </c>
      <c r="AE104">
        <f t="shared" si="27"/>
        <v>1.9911240867048514</v>
      </c>
      <c r="AF104">
        <f t="shared" si="21"/>
        <v>2.103432633730697</v>
      </c>
    </row>
    <row r="105" spans="1:32" x14ac:dyDescent="0.25">
      <c r="A105" s="4">
        <v>1779</v>
      </c>
      <c r="C105">
        <v>54</v>
      </c>
      <c r="D105">
        <v>72</v>
      </c>
      <c r="E105">
        <v>186</v>
      </c>
      <c r="F105">
        <f t="shared" si="33"/>
        <v>0.54</v>
      </c>
      <c r="G105">
        <f t="shared" si="34"/>
        <v>0.72</v>
      </c>
      <c r="H105">
        <f t="shared" si="36"/>
        <v>1.86</v>
      </c>
      <c r="J105">
        <v>0.18</v>
      </c>
      <c r="K105">
        <v>0.39</v>
      </c>
      <c r="L105">
        <v>0.39</v>
      </c>
      <c r="M105">
        <v>0.93</v>
      </c>
      <c r="N105">
        <f t="shared" si="37"/>
        <v>0.36430609807929731</v>
      </c>
      <c r="O105">
        <f t="shared" si="38"/>
        <v>0.78932987917181086</v>
      </c>
      <c r="P105">
        <f t="shared" si="39"/>
        <v>0.78932987917181086</v>
      </c>
      <c r="Q105">
        <f t="shared" si="40"/>
        <v>1.882248173409703</v>
      </c>
      <c r="S105">
        <f t="shared" si="22"/>
        <v>0.36430609807929731</v>
      </c>
      <c r="T105">
        <f t="shared" si="23"/>
        <v>0.54</v>
      </c>
      <c r="U105">
        <f t="shared" si="24"/>
        <v>0.4521530490396487</v>
      </c>
      <c r="V105">
        <f t="shared" si="35"/>
        <v>0.40248796777914952</v>
      </c>
      <c r="X105">
        <f t="shared" si="30"/>
        <v>0.72</v>
      </c>
      <c r="Y105">
        <f t="shared" si="31"/>
        <v>0.78932987917181086</v>
      </c>
      <c r="Z105">
        <f t="shared" si="32"/>
        <v>0.75466493958590541</v>
      </c>
      <c r="AA105">
        <f t="shared" si="20"/>
        <v>0.86543046813333591</v>
      </c>
      <c r="AC105">
        <f t="shared" si="25"/>
        <v>1.86</v>
      </c>
      <c r="AD105">
        <f t="shared" si="26"/>
        <v>1.882248173409703</v>
      </c>
      <c r="AE105">
        <f t="shared" si="27"/>
        <v>1.8711240867048515</v>
      </c>
      <c r="AF105">
        <f t="shared" si="21"/>
        <v>2.1407316683195372</v>
      </c>
    </row>
    <row r="106" spans="1:32" x14ac:dyDescent="0.25">
      <c r="A106" s="4">
        <v>1780</v>
      </c>
      <c r="C106">
        <v>54</v>
      </c>
      <c r="D106">
        <v>78</v>
      </c>
      <c r="E106">
        <v>198</v>
      </c>
      <c r="F106">
        <f t="shared" si="33"/>
        <v>0.54</v>
      </c>
      <c r="G106">
        <f t="shared" si="34"/>
        <v>0.78</v>
      </c>
      <c r="H106">
        <f t="shared" si="36"/>
        <v>1.98</v>
      </c>
      <c r="J106">
        <v>0.2</v>
      </c>
      <c r="K106">
        <v>0.55000000000000004</v>
      </c>
      <c r="L106">
        <v>0.34</v>
      </c>
      <c r="M106">
        <v>1.18</v>
      </c>
      <c r="N106">
        <f t="shared" si="37"/>
        <v>0.40478455342144148</v>
      </c>
      <c r="O106">
        <f t="shared" si="38"/>
        <v>1.113157521908964</v>
      </c>
      <c r="P106">
        <f t="shared" si="39"/>
        <v>0.68813374081645051</v>
      </c>
      <c r="Q106">
        <f t="shared" si="40"/>
        <v>2.3882288651865045</v>
      </c>
      <c r="S106">
        <f t="shared" si="22"/>
        <v>0.40478455342144148</v>
      </c>
      <c r="T106">
        <f t="shared" si="23"/>
        <v>0.54</v>
      </c>
      <c r="U106">
        <f t="shared" si="24"/>
        <v>0.47239227671072076</v>
      </c>
      <c r="V106">
        <f t="shared" si="35"/>
        <v>0.40451189054625675</v>
      </c>
      <c r="X106">
        <f t="shared" si="30"/>
        <v>0.78</v>
      </c>
      <c r="Y106">
        <f t="shared" si="31"/>
        <v>1.113157521908964</v>
      </c>
      <c r="Z106">
        <f t="shared" si="32"/>
        <v>0.94657876095448201</v>
      </c>
      <c r="AA106">
        <f t="shared" si="20"/>
        <v>0.8906218502701938</v>
      </c>
      <c r="AC106">
        <f t="shared" si="25"/>
        <v>1.98</v>
      </c>
      <c r="AD106">
        <f t="shared" si="26"/>
        <v>2.3882288651865045</v>
      </c>
      <c r="AE106">
        <f t="shared" si="27"/>
        <v>2.184114432593252</v>
      </c>
      <c r="AF106">
        <f t="shared" si="21"/>
        <v>2.1710307029083764</v>
      </c>
    </row>
    <row r="107" spans="1:32" x14ac:dyDescent="0.25">
      <c r="A107" s="4">
        <v>1781</v>
      </c>
      <c r="C107">
        <v>58</v>
      </c>
      <c r="D107">
        <v>134</v>
      </c>
      <c r="E107">
        <v>280</v>
      </c>
      <c r="F107">
        <f t="shared" si="33"/>
        <v>0.57999999999999996</v>
      </c>
      <c r="G107">
        <f t="shared" si="34"/>
        <v>1.34</v>
      </c>
      <c r="H107">
        <f t="shared" si="36"/>
        <v>2.8</v>
      </c>
      <c r="J107">
        <v>0.2</v>
      </c>
      <c r="K107">
        <v>0.55000000000000004</v>
      </c>
      <c r="L107">
        <v>0.34</v>
      </c>
      <c r="M107">
        <v>1.18</v>
      </c>
      <c r="N107">
        <f t="shared" si="37"/>
        <v>0.40478455342144148</v>
      </c>
      <c r="O107">
        <f t="shared" si="38"/>
        <v>1.113157521908964</v>
      </c>
      <c r="P107">
        <f t="shared" si="39"/>
        <v>0.68813374081645051</v>
      </c>
      <c r="Q107">
        <f t="shared" si="40"/>
        <v>2.3882288651865045</v>
      </c>
      <c r="S107">
        <f t="shared" si="22"/>
        <v>0.40478455342144148</v>
      </c>
      <c r="T107">
        <f t="shared" si="23"/>
        <v>0.57999999999999996</v>
      </c>
      <c r="U107">
        <f t="shared" si="24"/>
        <v>0.49239227671072072</v>
      </c>
      <c r="V107">
        <f t="shared" si="35"/>
        <v>0.40753581331336397</v>
      </c>
      <c r="X107">
        <f t="shared" si="30"/>
        <v>1.113157521908964</v>
      </c>
      <c r="Y107">
        <f t="shared" si="31"/>
        <v>1.34</v>
      </c>
      <c r="Z107">
        <f t="shared" si="32"/>
        <v>1.226578760954482</v>
      </c>
      <c r="AA107">
        <f t="shared" si="20"/>
        <v>0.92681323240705138</v>
      </c>
      <c r="AC107">
        <f t="shared" si="25"/>
        <v>2.3882288651865045</v>
      </c>
      <c r="AD107">
        <f t="shared" si="26"/>
        <v>2.8</v>
      </c>
      <c r="AE107">
        <f t="shared" si="27"/>
        <v>2.5941144325932521</v>
      </c>
      <c r="AF107">
        <f t="shared" si="21"/>
        <v>2.1363297374972166</v>
      </c>
    </row>
    <row r="108" spans="1:32" x14ac:dyDescent="0.25">
      <c r="A108" s="4">
        <v>1782</v>
      </c>
      <c r="D108">
        <v>156</v>
      </c>
      <c r="G108">
        <f t="shared" ref="G108:G120" si="41">D108/100</f>
        <v>1.56</v>
      </c>
      <c r="J108">
        <v>0.2</v>
      </c>
      <c r="K108">
        <v>0.55000000000000004</v>
      </c>
      <c r="L108">
        <v>0.34</v>
      </c>
      <c r="M108">
        <v>1.18</v>
      </c>
      <c r="N108">
        <f t="shared" si="37"/>
        <v>0.40478455342144148</v>
      </c>
      <c r="O108">
        <f t="shared" si="38"/>
        <v>1.113157521908964</v>
      </c>
      <c r="P108">
        <f t="shared" si="39"/>
        <v>0.68813374081645051</v>
      </c>
      <c r="Q108">
        <f t="shared" si="40"/>
        <v>2.3882288651865045</v>
      </c>
      <c r="S108">
        <f t="shared" si="22"/>
        <v>0.40478455342144148</v>
      </c>
      <c r="T108">
        <f t="shared" si="23"/>
        <v>0.40478455342144148</v>
      </c>
      <c r="U108">
        <f t="shared" si="24"/>
        <v>0.40478455342144148</v>
      </c>
      <c r="V108">
        <f t="shared" si="35"/>
        <v>0.40955973608047119</v>
      </c>
      <c r="X108">
        <f t="shared" si="30"/>
        <v>1.113157521908964</v>
      </c>
      <c r="Y108">
        <f t="shared" si="31"/>
        <v>1.56</v>
      </c>
      <c r="Z108">
        <f t="shared" si="32"/>
        <v>1.3365787609544819</v>
      </c>
      <c r="AA108">
        <f t="shared" si="20"/>
        <v>0.96200461454390884</v>
      </c>
      <c r="AC108">
        <f t="shared" si="25"/>
        <v>2.3882288651865045</v>
      </c>
      <c r="AD108">
        <f t="shared" si="26"/>
        <v>2.3882288651865045</v>
      </c>
      <c r="AE108">
        <f t="shared" si="27"/>
        <v>2.3882288651865045</v>
      </c>
      <c r="AF108">
        <f t="shared" si="21"/>
        <v>2.1796287720860574</v>
      </c>
    </row>
    <row r="109" spans="1:32" x14ac:dyDescent="0.25">
      <c r="A109" s="4">
        <v>1783</v>
      </c>
      <c r="C109">
        <v>30</v>
      </c>
      <c r="D109">
        <v>66</v>
      </c>
      <c r="E109">
        <v>190</v>
      </c>
      <c r="F109">
        <f t="shared" ref="F109:F120" si="42">C109/100</f>
        <v>0.3</v>
      </c>
      <c r="G109">
        <f t="shared" si="41"/>
        <v>0.66</v>
      </c>
      <c r="H109">
        <f t="shared" ref="H109:H120" si="43">E109/100</f>
        <v>1.9</v>
      </c>
      <c r="J109">
        <v>0.2</v>
      </c>
      <c r="K109">
        <v>0.55000000000000004</v>
      </c>
      <c r="L109">
        <v>0.34</v>
      </c>
      <c r="M109">
        <v>1.18</v>
      </c>
      <c r="N109">
        <f t="shared" si="37"/>
        <v>0.40478455342144148</v>
      </c>
      <c r="O109">
        <f t="shared" si="38"/>
        <v>1.113157521908964</v>
      </c>
      <c r="P109">
        <f t="shared" si="39"/>
        <v>0.68813374081645051</v>
      </c>
      <c r="Q109">
        <f t="shared" si="40"/>
        <v>2.3882288651865045</v>
      </c>
      <c r="S109">
        <f t="shared" si="22"/>
        <v>0.3</v>
      </c>
      <c r="T109">
        <f t="shared" si="23"/>
        <v>0.40478455342144148</v>
      </c>
      <c r="U109">
        <f t="shared" si="24"/>
        <v>0.35239227671072071</v>
      </c>
      <c r="V109">
        <f t="shared" si="35"/>
        <v>0.41158365884757842</v>
      </c>
      <c r="X109">
        <f t="shared" si="30"/>
        <v>0.66</v>
      </c>
      <c r="Y109">
        <f t="shared" si="31"/>
        <v>1.113157521908964</v>
      </c>
      <c r="Z109">
        <f t="shared" si="32"/>
        <v>0.88657876095448196</v>
      </c>
      <c r="AA109">
        <f t="shared" si="20"/>
        <v>1.0051959966807666</v>
      </c>
      <c r="AC109">
        <f t="shared" si="25"/>
        <v>1.9</v>
      </c>
      <c r="AD109">
        <f t="shared" si="26"/>
        <v>2.3882288651865045</v>
      </c>
      <c r="AE109">
        <f t="shared" si="27"/>
        <v>2.144114432593252</v>
      </c>
      <c r="AF109">
        <f t="shared" si="21"/>
        <v>2.234927806674897</v>
      </c>
    </row>
    <row r="110" spans="1:32" x14ac:dyDescent="0.25">
      <c r="A110" s="4">
        <v>1784</v>
      </c>
      <c r="C110">
        <v>32</v>
      </c>
      <c r="D110">
        <v>84</v>
      </c>
      <c r="E110">
        <v>198</v>
      </c>
      <c r="F110">
        <f t="shared" si="42"/>
        <v>0.32</v>
      </c>
      <c r="G110">
        <f t="shared" si="41"/>
        <v>0.84</v>
      </c>
      <c r="H110">
        <f t="shared" si="43"/>
        <v>1.98</v>
      </c>
      <c r="J110">
        <v>0.2</v>
      </c>
      <c r="K110">
        <v>0.55000000000000004</v>
      </c>
      <c r="L110">
        <v>0.34</v>
      </c>
      <c r="M110">
        <v>1.18</v>
      </c>
      <c r="N110">
        <f t="shared" si="37"/>
        <v>0.40478455342144148</v>
      </c>
      <c r="O110">
        <f t="shared" si="38"/>
        <v>1.113157521908964</v>
      </c>
      <c r="P110">
        <f t="shared" si="39"/>
        <v>0.68813374081645051</v>
      </c>
      <c r="Q110">
        <f t="shared" si="40"/>
        <v>2.3882288651865045</v>
      </c>
      <c r="S110">
        <f t="shared" si="22"/>
        <v>0.32</v>
      </c>
      <c r="T110">
        <f t="shared" si="23"/>
        <v>0.40478455342144148</v>
      </c>
      <c r="U110">
        <f t="shared" si="24"/>
        <v>0.36239227671072072</v>
      </c>
      <c r="V110">
        <f t="shared" si="35"/>
        <v>0.40860758161468558</v>
      </c>
      <c r="X110">
        <f t="shared" ref="X110:X120" si="44">MIN(G110,O110)</f>
        <v>0.84</v>
      </c>
      <c r="Y110">
        <f t="shared" ref="Y110:Y120" si="45">MAX(O110,G110)</f>
        <v>1.113157521908964</v>
      </c>
      <c r="Z110">
        <f t="shared" ref="Z110:Z120" si="46">AVERAGE(O110,G110)</f>
        <v>0.97657876095448204</v>
      </c>
      <c r="AA110">
        <f t="shared" si="20"/>
        <v>1.0513873788176245</v>
      </c>
      <c r="AC110">
        <f t="shared" si="25"/>
        <v>1.98</v>
      </c>
      <c r="AD110">
        <f t="shared" si="26"/>
        <v>2.3882288651865045</v>
      </c>
      <c r="AE110">
        <f t="shared" si="27"/>
        <v>2.184114432593252</v>
      </c>
      <c r="AF110">
        <f t="shared" si="21"/>
        <v>2.2872268412637373</v>
      </c>
    </row>
    <row r="111" spans="1:32" x14ac:dyDescent="0.25">
      <c r="A111" s="4">
        <v>1785</v>
      </c>
      <c r="C111">
        <v>34</v>
      </c>
      <c r="D111">
        <v>96</v>
      </c>
      <c r="E111">
        <v>116</v>
      </c>
      <c r="F111">
        <f t="shared" si="42"/>
        <v>0.34</v>
      </c>
      <c r="G111">
        <f t="shared" si="41"/>
        <v>0.96</v>
      </c>
      <c r="H111">
        <f t="shared" si="43"/>
        <v>1.1599999999999999</v>
      </c>
      <c r="J111">
        <v>0.2</v>
      </c>
      <c r="K111">
        <v>0.55000000000000004</v>
      </c>
      <c r="L111">
        <v>0.34</v>
      </c>
      <c r="M111">
        <v>1.18</v>
      </c>
      <c r="N111">
        <f t="shared" si="37"/>
        <v>0.40478455342144148</v>
      </c>
      <c r="O111">
        <f t="shared" si="38"/>
        <v>1.113157521908964</v>
      </c>
      <c r="P111">
        <f t="shared" si="39"/>
        <v>0.68813374081645051</v>
      </c>
      <c r="Q111">
        <f t="shared" si="40"/>
        <v>2.3882288651865045</v>
      </c>
      <c r="S111">
        <f t="shared" si="22"/>
        <v>0.34</v>
      </c>
      <c r="T111">
        <f t="shared" si="23"/>
        <v>0.40478455342144148</v>
      </c>
      <c r="U111">
        <f t="shared" si="24"/>
        <v>0.37239227671072073</v>
      </c>
      <c r="V111">
        <f t="shared" si="35"/>
        <v>0.40563150438179285</v>
      </c>
      <c r="X111">
        <f t="shared" si="44"/>
        <v>0.96</v>
      </c>
      <c r="Y111">
        <f t="shared" si="45"/>
        <v>1.113157521908964</v>
      </c>
      <c r="Z111">
        <f t="shared" si="46"/>
        <v>1.0365787609544821</v>
      </c>
      <c r="AA111">
        <f t="shared" si="20"/>
        <v>1.093578760954482</v>
      </c>
      <c r="AC111">
        <f t="shared" si="25"/>
        <v>1.1599999999999999</v>
      </c>
      <c r="AD111">
        <f t="shared" si="26"/>
        <v>2.3882288651865045</v>
      </c>
      <c r="AE111">
        <f t="shared" si="27"/>
        <v>1.7741144325932523</v>
      </c>
      <c r="AF111">
        <f t="shared" si="21"/>
        <v>2.313525875852577</v>
      </c>
    </row>
    <row r="112" spans="1:32" x14ac:dyDescent="0.25">
      <c r="A112" s="4">
        <v>1786</v>
      </c>
      <c r="C112">
        <v>32</v>
      </c>
      <c r="D112">
        <v>98</v>
      </c>
      <c r="E112">
        <v>268</v>
      </c>
      <c r="F112">
        <f t="shared" si="42"/>
        <v>0.32</v>
      </c>
      <c r="G112">
        <f t="shared" si="41"/>
        <v>0.98</v>
      </c>
      <c r="H112">
        <f t="shared" si="43"/>
        <v>2.68</v>
      </c>
      <c r="J112">
        <v>0.2</v>
      </c>
      <c r="K112">
        <v>0.55000000000000004</v>
      </c>
      <c r="L112">
        <v>0.34</v>
      </c>
      <c r="M112">
        <v>1.18</v>
      </c>
      <c r="N112">
        <f t="shared" si="37"/>
        <v>0.40478455342144148</v>
      </c>
      <c r="O112">
        <f t="shared" si="38"/>
        <v>1.113157521908964</v>
      </c>
      <c r="P112">
        <f t="shared" si="39"/>
        <v>0.68813374081645051</v>
      </c>
      <c r="Q112">
        <f t="shared" si="40"/>
        <v>2.3882288651865045</v>
      </c>
      <c r="S112">
        <f t="shared" si="22"/>
        <v>0.32</v>
      </c>
      <c r="T112">
        <f t="shared" si="23"/>
        <v>0.40478455342144148</v>
      </c>
      <c r="U112">
        <f t="shared" si="24"/>
        <v>0.36239227671072072</v>
      </c>
      <c r="V112">
        <f t="shared" si="35"/>
        <v>0.41276307960088249</v>
      </c>
      <c r="X112">
        <f t="shared" si="44"/>
        <v>0.98</v>
      </c>
      <c r="Y112">
        <f t="shared" si="45"/>
        <v>1.113157521908964</v>
      </c>
      <c r="Z112">
        <f t="shared" si="46"/>
        <v>1.0465787609544819</v>
      </c>
      <c r="AA112">
        <f t="shared" si="20"/>
        <v>1.1065907223380356</v>
      </c>
      <c r="AC112">
        <f t="shared" si="25"/>
        <v>2.3882288651865045</v>
      </c>
      <c r="AD112">
        <f t="shared" si="26"/>
        <v>2.68</v>
      </c>
      <c r="AE112">
        <f t="shared" si="27"/>
        <v>2.5341144325932525</v>
      </c>
      <c r="AF112">
        <f t="shared" si="21"/>
        <v>2.3064780303183627</v>
      </c>
    </row>
    <row r="113" spans="1:32" x14ac:dyDescent="0.25">
      <c r="A113" s="4">
        <v>1787</v>
      </c>
      <c r="C113">
        <v>40</v>
      </c>
      <c r="D113">
        <v>112</v>
      </c>
      <c r="E113">
        <v>298</v>
      </c>
      <c r="F113">
        <f t="shared" si="42"/>
        <v>0.4</v>
      </c>
      <c r="G113">
        <f t="shared" si="41"/>
        <v>1.1200000000000001</v>
      </c>
      <c r="H113">
        <f t="shared" si="43"/>
        <v>2.98</v>
      </c>
      <c r="J113">
        <v>0.2</v>
      </c>
      <c r="K113">
        <v>0.55000000000000004</v>
      </c>
      <c r="L113">
        <v>0.34</v>
      </c>
      <c r="M113">
        <v>1.18</v>
      </c>
      <c r="N113">
        <f t="shared" si="37"/>
        <v>0.40478455342144148</v>
      </c>
      <c r="O113">
        <f t="shared" si="38"/>
        <v>1.113157521908964</v>
      </c>
      <c r="P113">
        <f t="shared" si="39"/>
        <v>0.68813374081645051</v>
      </c>
      <c r="Q113">
        <f t="shared" si="40"/>
        <v>2.3882288651865045</v>
      </c>
      <c r="S113">
        <f t="shared" si="22"/>
        <v>0.4</v>
      </c>
      <c r="T113">
        <f t="shared" si="23"/>
        <v>0.40478455342144148</v>
      </c>
      <c r="U113">
        <f t="shared" si="24"/>
        <v>0.40239227671072075</v>
      </c>
      <c r="V113">
        <f t="shared" si="35"/>
        <v>0.42189465481997213</v>
      </c>
      <c r="X113">
        <f t="shared" si="44"/>
        <v>1.113157521908964</v>
      </c>
      <c r="Y113">
        <f t="shared" si="45"/>
        <v>1.1200000000000001</v>
      </c>
      <c r="Z113">
        <f t="shared" si="46"/>
        <v>1.1165787609544822</v>
      </c>
      <c r="AA113">
        <f t="shared" si="20"/>
        <v>1.0906026837215894</v>
      </c>
      <c r="AC113">
        <f t="shared" si="25"/>
        <v>2.3882288651865045</v>
      </c>
      <c r="AD113">
        <f t="shared" si="26"/>
        <v>2.98</v>
      </c>
      <c r="AE113">
        <f t="shared" si="27"/>
        <v>2.684114432593252</v>
      </c>
      <c r="AF113">
        <f t="shared" si="21"/>
        <v>2.2654301847841487</v>
      </c>
    </row>
    <row r="114" spans="1:32" x14ac:dyDescent="0.25">
      <c r="A114" s="4">
        <v>1788</v>
      </c>
      <c r="C114">
        <v>42</v>
      </c>
      <c r="D114">
        <v>126</v>
      </c>
      <c r="E114">
        <v>264</v>
      </c>
      <c r="F114">
        <f t="shared" si="42"/>
        <v>0.42</v>
      </c>
      <c r="G114">
        <f t="shared" si="41"/>
        <v>1.26</v>
      </c>
      <c r="H114">
        <f t="shared" si="43"/>
        <v>2.64</v>
      </c>
      <c r="J114">
        <v>0.2</v>
      </c>
      <c r="K114">
        <v>0.55000000000000004</v>
      </c>
      <c r="L114">
        <v>0.34</v>
      </c>
      <c r="M114">
        <v>1.18</v>
      </c>
      <c r="N114">
        <f t="shared" si="37"/>
        <v>0.40478455342144148</v>
      </c>
      <c r="O114">
        <f t="shared" si="38"/>
        <v>1.113157521908964</v>
      </c>
      <c r="P114">
        <f t="shared" si="39"/>
        <v>0.68813374081645051</v>
      </c>
      <c r="Q114">
        <f t="shared" si="40"/>
        <v>2.3882288651865045</v>
      </c>
      <c r="S114">
        <f t="shared" si="22"/>
        <v>0.40478455342144148</v>
      </c>
      <c r="T114">
        <f t="shared" si="23"/>
        <v>0.42</v>
      </c>
      <c r="U114">
        <f t="shared" si="24"/>
        <v>0.41239227671072076</v>
      </c>
      <c r="V114">
        <f t="shared" si="35"/>
        <v>0.44878700236798974</v>
      </c>
      <c r="X114">
        <f t="shared" si="44"/>
        <v>1.113157521908964</v>
      </c>
      <c r="Y114">
        <f t="shared" si="45"/>
        <v>1.26</v>
      </c>
      <c r="Z114">
        <f t="shared" si="46"/>
        <v>1.186578760954482</v>
      </c>
      <c r="AA114">
        <f t="shared" si="20"/>
        <v>1.0726146451051428</v>
      </c>
      <c r="AC114">
        <f t="shared" si="25"/>
        <v>2.3882288651865045</v>
      </c>
      <c r="AD114">
        <f t="shared" si="26"/>
        <v>2.64</v>
      </c>
      <c r="AE114">
        <f t="shared" si="27"/>
        <v>2.5141144325932521</v>
      </c>
      <c r="AF114">
        <f t="shared" si="21"/>
        <v>2.2739708959906086</v>
      </c>
    </row>
    <row r="115" spans="1:32" x14ac:dyDescent="0.25">
      <c r="A115" s="4">
        <v>1789</v>
      </c>
      <c r="C115">
        <v>44</v>
      </c>
      <c r="D115">
        <v>124</v>
      </c>
      <c r="E115">
        <v>188</v>
      </c>
      <c r="F115">
        <f t="shared" si="42"/>
        <v>0.44</v>
      </c>
      <c r="G115">
        <f t="shared" si="41"/>
        <v>1.24</v>
      </c>
      <c r="H115">
        <f t="shared" si="43"/>
        <v>1.88</v>
      </c>
      <c r="J115">
        <v>0.2</v>
      </c>
      <c r="K115">
        <v>0.55000000000000004</v>
      </c>
      <c r="L115">
        <v>0.34</v>
      </c>
      <c r="M115">
        <v>1.18</v>
      </c>
      <c r="N115">
        <f t="shared" si="37"/>
        <v>0.40478455342144148</v>
      </c>
      <c r="O115">
        <f t="shared" si="38"/>
        <v>1.113157521908964</v>
      </c>
      <c r="P115">
        <f t="shared" si="39"/>
        <v>0.68813374081645051</v>
      </c>
      <c r="Q115">
        <f t="shared" si="40"/>
        <v>2.3882288651865045</v>
      </c>
      <c r="S115">
        <f t="shared" si="22"/>
        <v>0.40478455342144148</v>
      </c>
      <c r="T115">
        <f t="shared" si="23"/>
        <v>0.44</v>
      </c>
      <c r="U115">
        <f t="shared" si="24"/>
        <v>0.42239227671072077</v>
      </c>
      <c r="V115">
        <f t="shared" si="35"/>
        <v>0.48091857758707934</v>
      </c>
      <c r="X115">
        <f t="shared" si="44"/>
        <v>1.113157521908964</v>
      </c>
      <c r="Y115">
        <f t="shared" si="45"/>
        <v>1.24</v>
      </c>
      <c r="Z115">
        <f t="shared" si="46"/>
        <v>1.176578760954482</v>
      </c>
      <c r="AA115">
        <f t="shared" si="20"/>
        <v>1.0996266064886964</v>
      </c>
      <c r="AC115">
        <f t="shared" si="25"/>
        <v>1.88</v>
      </c>
      <c r="AD115">
        <f t="shared" si="26"/>
        <v>2.3882288651865045</v>
      </c>
      <c r="AE115">
        <f t="shared" si="27"/>
        <v>2.1341144325932522</v>
      </c>
      <c r="AF115">
        <f t="shared" si="21"/>
        <v>2.3159230504563948</v>
      </c>
    </row>
    <row r="116" spans="1:32" x14ac:dyDescent="0.25">
      <c r="A116" s="4">
        <v>1790</v>
      </c>
      <c r="C116">
        <v>46</v>
      </c>
      <c r="D116">
        <v>102</v>
      </c>
      <c r="E116">
        <v>192</v>
      </c>
      <c r="F116">
        <f t="shared" si="42"/>
        <v>0.46</v>
      </c>
      <c r="G116">
        <f t="shared" si="41"/>
        <v>1.02</v>
      </c>
      <c r="H116">
        <f t="shared" si="43"/>
        <v>1.92</v>
      </c>
      <c r="J116">
        <v>0.31</v>
      </c>
      <c r="K116">
        <v>0.56000000000000005</v>
      </c>
      <c r="L116">
        <v>0.38</v>
      </c>
      <c r="M116">
        <v>1.1399999999999999</v>
      </c>
      <c r="N116">
        <f t="shared" si="37"/>
        <v>0.62741605780323428</v>
      </c>
      <c r="O116">
        <f t="shared" si="38"/>
        <v>1.1333967495800361</v>
      </c>
      <c r="P116">
        <f t="shared" si="39"/>
        <v>0.76909065150073874</v>
      </c>
      <c r="Q116">
        <f t="shared" si="40"/>
        <v>2.307271954502216</v>
      </c>
      <c r="S116">
        <f t="shared" si="22"/>
        <v>0.46</v>
      </c>
      <c r="T116">
        <f t="shared" si="23"/>
        <v>0.62741605780323428</v>
      </c>
      <c r="U116">
        <f t="shared" si="24"/>
        <v>0.54370802890161718</v>
      </c>
      <c r="V116">
        <f t="shared" si="35"/>
        <v>0.51105015280616883</v>
      </c>
      <c r="X116">
        <f t="shared" si="44"/>
        <v>1.02</v>
      </c>
      <c r="Y116">
        <f t="shared" si="45"/>
        <v>1.1333967495800361</v>
      </c>
      <c r="Z116">
        <f t="shared" si="46"/>
        <v>1.0766983747900181</v>
      </c>
      <c r="AA116">
        <f t="shared" si="20"/>
        <v>1.1191385678722501</v>
      </c>
      <c r="AC116">
        <f t="shared" si="25"/>
        <v>1.92</v>
      </c>
      <c r="AD116">
        <f t="shared" si="26"/>
        <v>2.307271954502216</v>
      </c>
      <c r="AE116">
        <f t="shared" si="27"/>
        <v>2.113635977251108</v>
      </c>
      <c r="AF116">
        <f t="shared" si="21"/>
        <v>2.3088752049221801</v>
      </c>
    </row>
    <row r="117" spans="1:32" x14ac:dyDescent="0.25">
      <c r="A117" s="4">
        <v>1791</v>
      </c>
      <c r="C117">
        <v>54</v>
      </c>
      <c r="D117">
        <v>100</v>
      </c>
      <c r="E117">
        <v>206</v>
      </c>
      <c r="F117">
        <f t="shared" si="42"/>
        <v>0.54</v>
      </c>
      <c r="G117">
        <f t="shared" si="41"/>
        <v>1</v>
      </c>
      <c r="H117">
        <f t="shared" si="43"/>
        <v>2.06</v>
      </c>
      <c r="J117">
        <v>0.31</v>
      </c>
      <c r="K117">
        <v>0.56000000000000005</v>
      </c>
      <c r="L117">
        <v>0.38</v>
      </c>
      <c r="M117">
        <v>1.1399999999999999</v>
      </c>
      <c r="N117">
        <f t="shared" si="37"/>
        <v>0.62741605780323428</v>
      </c>
      <c r="O117">
        <f t="shared" si="38"/>
        <v>1.1333967495800361</v>
      </c>
      <c r="P117">
        <f t="shared" si="39"/>
        <v>0.76909065150073874</v>
      </c>
      <c r="Q117">
        <f t="shared" si="40"/>
        <v>2.307271954502216</v>
      </c>
      <c r="S117">
        <f t="shared" si="22"/>
        <v>0.54</v>
      </c>
      <c r="T117">
        <f t="shared" si="23"/>
        <v>0.62741605780323428</v>
      </c>
      <c r="U117">
        <f t="shared" si="24"/>
        <v>0.58370802890161722</v>
      </c>
      <c r="V117">
        <f t="shared" si="35"/>
        <v>0.52645658348344104</v>
      </c>
      <c r="X117">
        <f t="shared" si="44"/>
        <v>1</v>
      </c>
      <c r="Y117">
        <f t="shared" si="45"/>
        <v>1.1333967495800361</v>
      </c>
      <c r="Z117">
        <f t="shared" si="46"/>
        <v>1.0666983747900181</v>
      </c>
      <c r="AA117">
        <f t="shared" si="20"/>
        <v>1.128311879752002</v>
      </c>
      <c r="AC117">
        <f t="shared" si="25"/>
        <v>2.06</v>
      </c>
      <c r="AD117">
        <f t="shared" si="26"/>
        <v>2.307271954502216</v>
      </c>
      <c r="AE117">
        <f t="shared" si="27"/>
        <v>2.1836359772511083</v>
      </c>
      <c r="AF117">
        <f t="shared" si="21"/>
        <v>2.3682930685142831</v>
      </c>
    </row>
    <row r="118" spans="1:32" x14ac:dyDescent="0.25">
      <c r="A118" s="4">
        <v>1792</v>
      </c>
      <c r="C118">
        <v>72</v>
      </c>
      <c r="D118">
        <v>118</v>
      </c>
      <c r="E118">
        <v>264</v>
      </c>
      <c r="F118">
        <f t="shared" si="42"/>
        <v>0.72</v>
      </c>
      <c r="G118">
        <f t="shared" si="41"/>
        <v>1.18</v>
      </c>
      <c r="H118">
        <f t="shared" si="43"/>
        <v>2.64</v>
      </c>
      <c r="J118">
        <v>0.31</v>
      </c>
      <c r="K118">
        <v>0.56000000000000005</v>
      </c>
      <c r="L118">
        <v>0.38</v>
      </c>
      <c r="M118">
        <v>1.1399999999999999</v>
      </c>
      <c r="N118">
        <f t="shared" si="37"/>
        <v>0.62741605780323428</v>
      </c>
      <c r="O118">
        <f t="shared" si="38"/>
        <v>1.1333967495800361</v>
      </c>
      <c r="P118">
        <f t="shared" si="39"/>
        <v>0.76909065150073874</v>
      </c>
      <c r="Q118">
        <f t="shared" si="40"/>
        <v>2.307271954502216</v>
      </c>
      <c r="S118">
        <f t="shared" si="22"/>
        <v>0.62741605780323428</v>
      </c>
      <c r="T118">
        <f t="shared" si="23"/>
        <v>0.72</v>
      </c>
      <c r="U118">
        <f t="shared" si="24"/>
        <v>0.67370802890161707</v>
      </c>
      <c r="V118">
        <f t="shared" si="35"/>
        <v>0.54696462183003103</v>
      </c>
      <c r="X118">
        <f t="shared" si="44"/>
        <v>1.1333967495800361</v>
      </c>
      <c r="Y118">
        <f t="shared" si="45"/>
        <v>1.18</v>
      </c>
      <c r="Z118">
        <f t="shared" si="46"/>
        <v>1.1566983747900181</v>
      </c>
      <c r="AA118">
        <f t="shared" si="20"/>
        <v>1.1385285196016921</v>
      </c>
      <c r="AC118">
        <f t="shared" si="25"/>
        <v>2.307271954502216</v>
      </c>
      <c r="AD118">
        <f t="shared" si="26"/>
        <v>2.64</v>
      </c>
      <c r="AE118">
        <f t="shared" si="27"/>
        <v>2.4736359772511083</v>
      </c>
      <c r="AF118">
        <f t="shared" si="21"/>
        <v>2.347565398004412</v>
      </c>
    </row>
    <row r="119" spans="1:32" x14ac:dyDescent="0.25">
      <c r="A119" s="4">
        <v>1793</v>
      </c>
      <c r="C119">
        <v>72</v>
      </c>
      <c r="D119">
        <v>118</v>
      </c>
      <c r="E119">
        <v>282</v>
      </c>
      <c r="F119">
        <f t="shared" si="42"/>
        <v>0.72</v>
      </c>
      <c r="G119">
        <f t="shared" si="41"/>
        <v>1.18</v>
      </c>
      <c r="H119">
        <f t="shared" si="43"/>
        <v>2.82</v>
      </c>
      <c r="J119">
        <v>0.31</v>
      </c>
      <c r="K119">
        <v>0.56000000000000005</v>
      </c>
      <c r="L119">
        <v>0.38</v>
      </c>
      <c r="M119">
        <v>1.1399999999999999</v>
      </c>
      <c r="N119">
        <f t="shared" si="37"/>
        <v>0.62741605780323428</v>
      </c>
      <c r="O119">
        <f t="shared" si="38"/>
        <v>1.1333967495800361</v>
      </c>
      <c r="P119">
        <f t="shared" si="39"/>
        <v>0.76909065150073874</v>
      </c>
      <c r="Q119">
        <f t="shared" si="40"/>
        <v>2.307271954502216</v>
      </c>
      <c r="S119">
        <f t="shared" si="22"/>
        <v>0.62741605780323428</v>
      </c>
      <c r="T119">
        <f t="shared" si="23"/>
        <v>0.72</v>
      </c>
      <c r="U119">
        <f t="shared" si="24"/>
        <v>0.67370802890161707</v>
      </c>
      <c r="V119">
        <f>AVERAGE(U119,U118,U117,U116,U120,U121,U122,U115,U123,U114)</f>
        <v>0.56761781398993238</v>
      </c>
      <c r="X119">
        <f t="shared" si="44"/>
        <v>1.1333967495800361</v>
      </c>
      <c r="Y119">
        <f t="shared" si="45"/>
        <v>1.18</v>
      </c>
      <c r="Z119">
        <f t="shared" si="46"/>
        <v>1.1566983747900181</v>
      </c>
      <c r="AA119">
        <f t="shared" si="20"/>
        <v>1.1416641994084364</v>
      </c>
      <c r="AC119">
        <f t="shared" si="25"/>
        <v>2.307271954502216</v>
      </c>
      <c r="AD119">
        <f t="shared" si="26"/>
        <v>2.82</v>
      </c>
      <c r="AE119">
        <f t="shared" si="27"/>
        <v>2.5636359772511081</v>
      </c>
      <c r="AF119">
        <f t="shared" si="21"/>
        <v>2.2994869644917206</v>
      </c>
    </row>
    <row r="120" spans="1:32" x14ac:dyDescent="0.25">
      <c r="A120" s="4">
        <v>1794</v>
      </c>
      <c r="C120">
        <v>70</v>
      </c>
      <c r="D120">
        <v>121</v>
      </c>
      <c r="E120">
        <v>192</v>
      </c>
      <c r="F120">
        <f t="shared" si="42"/>
        <v>0.7</v>
      </c>
      <c r="G120">
        <f t="shared" si="41"/>
        <v>1.21</v>
      </c>
      <c r="H120">
        <f t="shared" si="43"/>
        <v>1.92</v>
      </c>
      <c r="J120">
        <v>0.31</v>
      </c>
      <c r="K120">
        <v>0.56000000000000005</v>
      </c>
      <c r="L120">
        <v>0.38</v>
      </c>
      <c r="M120">
        <v>1.1399999999999999</v>
      </c>
      <c r="N120">
        <f t="shared" si="37"/>
        <v>0.62741605780323428</v>
      </c>
      <c r="O120">
        <f t="shared" si="38"/>
        <v>1.1333967495800361</v>
      </c>
      <c r="P120">
        <f t="shared" si="39"/>
        <v>0.76909065150073874</v>
      </c>
      <c r="Q120">
        <f t="shared" si="40"/>
        <v>2.307271954502216</v>
      </c>
      <c r="S120">
        <f t="shared" si="22"/>
        <v>0.62741605780323428</v>
      </c>
      <c r="T120">
        <f t="shared" si="23"/>
        <v>0.7</v>
      </c>
      <c r="U120">
        <f t="shared" si="24"/>
        <v>0.66370802890161706</v>
      </c>
      <c r="V120">
        <f t="shared" si="35"/>
        <v>0.59348873686980108</v>
      </c>
      <c r="X120">
        <f t="shared" si="44"/>
        <v>1.1333967495800361</v>
      </c>
      <c r="Y120">
        <f t="shared" si="45"/>
        <v>1.21</v>
      </c>
      <c r="Z120">
        <f t="shared" si="46"/>
        <v>1.171698374790018</v>
      </c>
      <c r="AA120">
        <f t="shared" si="20"/>
        <v>1.1341784391507621</v>
      </c>
      <c r="AC120">
        <f t="shared" si="25"/>
        <v>1.92</v>
      </c>
      <c r="AD120">
        <f t="shared" si="26"/>
        <v>2.307271954502216</v>
      </c>
      <c r="AE120">
        <f t="shared" si="27"/>
        <v>2.113635977251108</v>
      </c>
      <c r="AF120">
        <f t="shared" si="21"/>
        <v>2.2637157198081321</v>
      </c>
    </row>
    <row r="121" spans="1:32" x14ac:dyDescent="0.25">
      <c r="A121" s="4">
        <v>1795</v>
      </c>
      <c r="V121">
        <f t="shared" si="35"/>
        <v>0.62770802890161703</v>
      </c>
      <c r="AA121">
        <f t="shared" si="20"/>
        <v>1.125698374790018</v>
      </c>
      <c r="AF121">
        <f t="shared" si="21"/>
        <v>2.2896359772511081</v>
      </c>
    </row>
    <row r="122" spans="1:32" x14ac:dyDescent="0.25">
      <c r="A122" s="4">
        <v>1796</v>
      </c>
      <c r="V122">
        <f t="shared" si="35"/>
        <v>0.64870802890161705</v>
      </c>
      <c r="AA122">
        <f t="shared" si="20"/>
        <v>1.1379483747900181</v>
      </c>
      <c r="AF122">
        <f t="shared" si="21"/>
        <v>2.3336359772511082</v>
      </c>
    </row>
    <row r="123" spans="1:32" x14ac:dyDescent="0.25">
      <c r="A123" s="4">
        <v>1797</v>
      </c>
      <c r="V123">
        <f t="shared" si="35"/>
        <v>0.67037469556828366</v>
      </c>
      <c r="AA123">
        <f t="shared" si="20"/>
        <v>1.161698374790018</v>
      </c>
      <c r="AF123">
        <f t="shared" si="21"/>
        <v>2.383635977251108</v>
      </c>
    </row>
    <row r="124" spans="1:32" x14ac:dyDescent="0.25">
      <c r="A124" s="4">
        <v>1798</v>
      </c>
      <c r="V124">
        <f t="shared" si="35"/>
        <v>0.66870802890161707</v>
      </c>
      <c r="AA124">
        <f t="shared" si="20"/>
        <v>1.164198374790018</v>
      </c>
      <c r="AF124">
        <f t="shared" si="21"/>
        <v>2.3386359772511081</v>
      </c>
    </row>
    <row r="125" spans="1:32" x14ac:dyDescent="0.25">
      <c r="A125" s="4">
        <v>1799</v>
      </c>
      <c r="V125">
        <f t="shared" si="35"/>
        <v>0.66370802890161706</v>
      </c>
      <c r="AA125">
        <f t="shared" si="20"/>
        <v>1.171698374790018</v>
      </c>
      <c r="AF125">
        <f t="shared" si="21"/>
        <v>2.113635977251108</v>
      </c>
    </row>
    <row r="126" spans="1:32" x14ac:dyDescent="0.25">
      <c r="A126" s="4">
        <v>1800</v>
      </c>
    </row>
    <row r="127" spans="1:32" x14ac:dyDescent="0.25">
      <c r="A127" s="4">
        <v>1801</v>
      </c>
    </row>
    <row r="128" spans="1:32" x14ac:dyDescent="0.25">
      <c r="A128" s="4">
        <v>1802</v>
      </c>
    </row>
    <row r="129" spans="1:8" x14ac:dyDescent="0.25">
      <c r="A129" s="4">
        <v>1803</v>
      </c>
    </row>
    <row r="130" spans="1:8" x14ac:dyDescent="0.25">
      <c r="A130" s="4">
        <v>1804</v>
      </c>
    </row>
    <row r="131" spans="1:8" x14ac:dyDescent="0.25">
      <c r="A131" s="4">
        <v>1805</v>
      </c>
    </row>
    <row r="132" spans="1:8" x14ac:dyDescent="0.25">
      <c r="A132" s="4">
        <v>1806</v>
      </c>
    </row>
    <row r="133" spans="1:8" x14ac:dyDescent="0.25">
      <c r="A133" s="4">
        <v>1807</v>
      </c>
    </row>
    <row r="134" spans="1:8" x14ac:dyDescent="0.25">
      <c r="A134" s="4">
        <v>1808</v>
      </c>
    </row>
    <row r="135" spans="1:8" x14ac:dyDescent="0.25">
      <c r="A135" s="4">
        <v>1809</v>
      </c>
    </row>
    <row r="136" spans="1:8" x14ac:dyDescent="0.25">
      <c r="A136" s="4">
        <v>1810</v>
      </c>
    </row>
    <row r="137" spans="1:8" x14ac:dyDescent="0.25">
      <c r="A137" s="4">
        <v>1811</v>
      </c>
    </row>
    <row r="138" spans="1:8" x14ac:dyDescent="0.25">
      <c r="A138" s="4">
        <v>1812</v>
      </c>
    </row>
    <row r="139" spans="1:8" x14ac:dyDescent="0.25">
      <c r="A139" s="4">
        <v>1813</v>
      </c>
    </row>
    <row r="140" spans="1:8" x14ac:dyDescent="0.25">
      <c r="A140" s="4">
        <v>1814</v>
      </c>
    </row>
    <row r="141" spans="1:8" x14ac:dyDescent="0.25">
      <c r="A141" s="4">
        <v>1815</v>
      </c>
    </row>
    <row r="142" spans="1:8" x14ac:dyDescent="0.25">
      <c r="A142" s="5">
        <v>1816</v>
      </c>
      <c r="C142">
        <v>70</v>
      </c>
      <c r="D142">
        <v>100</v>
      </c>
      <c r="F142">
        <f t="shared" ref="F142:G146" si="47">C142/100</f>
        <v>0.7</v>
      </c>
      <c r="G142">
        <f t="shared" si="47"/>
        <v>1</v>
      </c>
    </row>
    <row r="143" spans="1:8" x14ac:dyDescent="0.25">
      <c r="A143" s="5">
        <v>1817</v>
      </c>
      <c r="C143">
        <v>66</v>
      </c>
      <c r="D143">
        <v>100</v>
      </c>
      <c r="F143">
        <f t="shared" si="47"/>
        <v>0.66</v>
      </c>
      <c r="G143">
        <f t="shared" si="47"/>
        <v>1</v>
      </c>
    </row>
    <row r="144" spans="1:8" x14ac:dyDescent="0.25">
      <c r="A144" s="5">
        <v>1818</v>
      </c>
      <c r="C144">
        <v>66</v>
      </c>
      <c r="D144">
        <v>132</v>
      </c>
      <c r="E144">
        <v>244</v>
      </c>
      <c r="F144">
        <f t="shared" si="47"/>
        <v>0.66</v>
      </c>
      <c r="G144">
        <f t="shared" si="47"/>
        <v>1.32</v>
      </c>
      <c r="H144">
        <f>E144/100</f>
        <v>2.44</v>
      </c>
    </row>
    <row r="145" spans="1:8" x14ac:dyDescent="0.25">
      <c r="A145" s="5">
        <v>1819</v>
      </c>
      <c r="C145">
        <v>54</v>
      </c>
      <c r="D145">
        <v>148</v>
      </c>
      <c r="E145">
        <v>196</v>
      </c>
      <c r="F145">
        <f t="shared" si="47"/>
        <v>0.54</v>
      </c>
      <c r="G145">
        <f t="shared" si="47"/>
        <v>1.48</v>
      </c>
      <c r="H145">
        <f>E145/100</f>
        <v>1.96</v>
      </c>
    </row>
    <row r="146" spans="1:8" x14ac:dyDescent="0.25">
      <c r="A146" s="5">
        <v>1820</v>
      </c>
      <c r="C146">
        <v>48</v>
      </c>
      <c r="D146">
        <v>173</v>
      </c>
      <c r="E146">
        <v>162</v>
      </c>
      <c r="F146">
        <f t="shared" si="47"/>
        <v>0.48</v>
      </c>
      <c r="G146">
        <f t="shared" si="47"/>
        <v>1.73</v>
      </c>
      <c r="H146">
        <f>E146/100</f>
        <v>1.62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07"/>
  <sheetViews>
    <sheetView topLeftCell="O1" zoomScale="70" zoomScaleNormal="70" workbookViewId="0">
      <pane ySplit="1140" topLeftCell="A71"/>
      <selection activeCell="U3" sqref="U3:U4"/>
      <selection pane="bottomLeft" activeCell="Z96" sqref="Z96"/>
    </sheetView>
  </sheetViews>
  <sheetFormatPr defaultRowHeight="15" x14ac:dyDescent="0.25"/>
  <cols>
    <col min="14" max="14" width="17.42578125" customWidth="1"/>
  </cols>
  <sheetData>
    <row r="1" spans="1:35" s="8" customFormat="1" ht="12.75" x14ac:dyDescent="0.2">
      <c r="K1" s="8" t="s">
        <v>54</v>
      </c>
      <c r="N1" s="8">
        <v>0.44444444444444442</v>
      </c>
      <c r="R1" s="8" t="s">
        <v>54</v>
      </c>
    </row>
    <row r="2" spans="1:35" s="8" customFormat="1" ht="12.75" x14ac:dyDescent="0.2">
      <c r="K2" s="9" t="s">
        <v>55</v>
      </c>
      <c r="R2" s="9" t="s">
        <v>55</v>
      </c>
    </row>
    <row r="3" spans="1:35" s="8" customFormat="1" ht="12.75" x14ac:dyDescent="0.2">
      <c r="A3" s="8" t="s">
        <v>56</v>
      </c>
      <c r="B3" s="8" t="s">
        <v>57</v>
      </c>
      <c r="C3" s="8" t="s">
        <v>58</v>
      </c>
      <c r="D3" s="8" t="s">
        <v>59</v>
      </c>
      <c r="E3" s="8" t="s">
        <v>60</v>
      </c>
      <c r="F3" s="8" t="s">
        <v>61</v>
      </c>
      <c r="G3" s="8" t="s">
        <v>62</v>
      </c>
      <c r="H3" s="8" t="s">
        <v>63</v>
      </c>
      <c r="I3" s="8" t="s">
        <v>63</v>
      </c>
      <c r="J3" s="8" t="s">
        <v>63</v>
      </c>
      <c r="K3" s="8" t="s">
        <v>63</v>
      </c>
      <c r="L3" s="8" t="s">
        <v>63</v>
      </c>
      <c r="M3" s="8" t="s">
        <v>63</v>
      </c>
      <c r="N3" s="8" t="s">
        <v>64</v>
      </c>
      <c r="O3" s="8" t="s">
        <v>63</v>
      </c>
      <c r="R3" s="8" t="s">
        <v>65</v>
      </c>
      <c r="U3" s="8" t="s">
        <v>64</v>
      </c>
      <c r="V3" s="8" t="s">
        <v>66</v>
      </c>
      <c r="W3" s="8" t="s">
        <v>67</v>
      </c>
      <c r="X3" s="8" t="s">
        <v>68</v>
      </c>
      <c r="Z3" s="8" t="s">
        <v>69</v>
      </c>
      <c r="AB3" s="8" t="s">
        <v>82</v>
      </c>
      <c r="AF3" s="8" t="s">
        <v>83</v>
      </c>
      <c r="AG3" s="8" t="s">
        <v>84</v>
      </c>
      <c r="AH3" s="8" t="s">
        <v>85</v>
      </c>
      <c r="AI3" s="8" t="s">
        <v>86</v>
      </c>
    </row>
    <row r="4" spans="1:35" x14ac:dyDescent="0.25">
      <c r="B4" t="s">
        <v>70</v>
      </c>
      <c r="C4" t="s">
        <v>70</v>
      </c>
      <c r="D4" t="s">
        <v>71</v>
      </c>
      <c r="G4" t="s">
        <v>72</v>
      </c>
      <c r="H4" t="s">
        <v>73</v>
      </c>
      <c r="I4" t="s">
        <v>74</v>
      </c>
      <c r="J4" t="s">
        <v>75</v>
      </c>
      <c r="K4" t="s">
        <v>73</v>
      </c>
      <c r="L4" t="s">
        <v>74</v>
      </c>
      <c r="M4" t="s">
        <v>75</v>
      </c>
      <c r="N4" t="s">
        <v>76</v>
      </c>
      <c r="O4" t="s">
        <v>77</v>
      </c>
      <c r="P4" t="s">
        <v>78</v>
      </c>
      <c r="Q4" t="s">
        <v>79</v>
      </c>
      <c r="R4" t="s">
        <v>77</v>
      </c>
      <c r="S4" t="s">
        <v>78</v>
      </c>
      <c r="T4" t="s">
        <v>79</v>
      </c>
      <c r="U4" t="s">
        <v>80</v>
      </c>
      <c r="V4" t="s">
        <v>81</v>
      </c>
      <c r="AG4" t="s">
        <v>87</v>
      </c>
      <c r="AH4" t="s">
        <v>88</v>
      </c>
      <c r="AI4" t="s">
        <v>89</v>
      </c>
    </row>
    <row r="5" spans="1:35" x14ac:dyDescent="0.25">
      <c r="H5">
        <v>0.6</v>
      </c>
      <c r="I5">
        <v>0.1</v>
      </c>
      <c r="J5">
        <v>0.25</v>
      </c>
      <c r="K5">
        <v>0.6</v>
      </c>
      <c r="L5">
        <v>0.1</v>
      </c>
      <c r="M5">
        <v>0.25</v>
      </c>
      <c r="R5">
        <v>0.3</v>
      </c>
      <c r="S5">
        <v>0.7</v>
      </c>
      <c r="T5">
        <v>0.8</v>
      </c>
      <c r="AB5" t="s">
        <v>67</v>
      </c>
      <c r="AC5" t="s">
        <v>90</v>
      </c>
      <c r="AD5" t="s">
        <v>75</v>
      </c>
      <c r="AE5" t="s">
        <v>91</v>
      </c>
    </row>
    <row r="6" spans="1:35" x14ac:dyDescent="0.25">
      <c r="A6">
        <v>1500</v>
      </c>
      <c r="AG6" s="11"/>
    </row>
    <row r="7" spans="1:35" x14ac:dyDescent="0.25">
      <c r="A7">
        <v>1501</v>
      </c>
      <c r="AG7" s="11"/>
    </row>
    <row r="8" spans="1:35" x14ac:dyDescent="0.25">
      <c r="A8">
        <v>1502</v>
      </c>
      <c r="AG8" s="11"/>
    </row>
    <row r="9" spans="1:35" x14ac:dyDescent="0.25">
      <c r="A9">
        <v>1503</v>
      </c>
      <c r="AG9" s="11"/>
    </row>
    <row r="10" spans="1:35" x14ac:dyDescent="0.25">
      <c r="A10">
        <v>1504</v>
      </c>
      <c r="AG10" s="11"/>
    </row>
    <row r="11" spans="1:35" x14ac:dyDescent="0.25">
      <c r="A11">
        <v>1505</v>
      </c>
      <c r="AG11" s="11"/>
    </row>
    <row r="12" spans="1:35" x14ac:dyDescent="0.25">
      <c r="A12">
        <v>1506</v>
      </c>
      <c r="AG12" s="11"/>
    </row>
    <row r="13" spans="1:35" x14ac:dyDescent="0.25">
      <c r="A13">
        <v>1507</v>
      </c>
      <c r="AG13" s="11"/>
    </row>
    <row r="14" spans="1:35" x14ac:dyDescent="0.25">
      <c r="A14">
        <v>1508</v>
      </c>
      <c r="AG14" s="11"/>
    </row>
    <row r="15" spans="1:35" x14ac:dyDescent="0.25">
      <c r="A15">
        <v>1509</v>
      </c>
      <c r="AG15" s="11"/>
    </row>
    <row r="16" spans="1:35" x14ac:dyDescent="0.25">
      <c r="A16">
        <v>1510</v>
      </c>
      <c r="AG16" s="11">
        <v>34375</v>
      </c>
      <c r="AH16" s="11">
        <v>-34375</v>
      </c>
      <c r="AI16" s="11">
        <v>-51562.5</v>
      </c>
    </row>
    <row r="17" spans="1:35" x14ac:dyDescent="0.25">
      <c r="A17">
        <v>1511</v>
      </c>
      <c r="AG17" s="11">
        <v>35902.777777777781</v>
      </c>
      <c r="AH17" s="11">
        <v>-35902.777777777781</v>
      </c>
      <c r="AI17" s="11">
        <v>-53854.166666666672</v>
      </c>
    </row>
    <row r="18" spans="1:35" x14ac:dyDescent="0.25">
      <c r="A18">
        <v>1512</v>
      </c>
      <c r="AG18" s="11">
        <v>37430.555555555555</v>
      </c>
      <c r="AH18" s="11">
        <v>-37430.555555555555</v>
      </c>
      <c r="AI18" s="11">
        <v>-56145.833333333328</v>
      </c>
    </row>
    <row r="19" spans="1:35" x14ac:dyDescent="0.25">
      <c r="A19">
        <v>1513</v>
      </c>
      <c r="AG19" s="11">
        <v>38958.333333333336</v>
      </c>
      <c r="AH19" s="11">
        <v>-38958.333333333336</v>
      </c>
      <c r="AI19" s="11">
        <v>-58437.5</v>
      </c>
    </row>
    <row r="20" spans="1:35" x14ac:dyDescent="0.25">
      <c r="A20">
        <v>1514</v>
      </c>
      <c r="AG20" s="11">
        <v>40486.111111111109</v>
      </c>
      <c r="AH20" s="11">
        <v>-40486.111111111109</v>
      </c>
      <c r="AI20" s="11">
        <v>-60729.166666666664</v>
      </c>
    </row>
    <row r="21" spans="1:35" x14ac:dyDescent="0.25">
      <c r="A21">
        <v>1515</v>
      </c>
      <c r="AG21" s="11">
        <v>42295.928125000006</v>
      </c>
      <c r="AH21" s="11">
        <v>-42295.928125000006</v>
      </c>
      <c r="AI21" s="11">
        <v>-63443.892187500009</v>
      </c>
    </row>
    <row r="22" spans="1:35" x14ac:dyDescent="0.25">
      <c r="A22">
        <v>1516</v>
      </c>
      <c r="AG22" s="11">
        <v>44128.219261066879</v>
      </c>
      <c r="AH22" s="11">
        <v>-44128.219261066879</v>
      </c>
      <c r="AI22" s="11">
        <v>-66192.328891600322</v>
      </c>
    </row>
    <row r="23" spans="1:35" x14ac:dyDescent="0.25">
      <c r="A23">
        <v>1517</v>
      </c>
      <c r="AG23" s="11">
        <v>45983.204698614354</v>
      </c>
      <c r="AH23" s="11">
        <v>-45983.204698614354</v>
      </c>
      <c r="AI23" s="11">
        <v>-68974.807047921524</v>
      </c>
    </row>
    <row r="24" spans="1:35" x14ac:dyDescent="0.25">
      <c r="A24">
        <v>1518</v>
      </c>
      <c r="AG24" s="11">
        <v>47861.106560290253</v>
      </c>
      <c r="AH24" s="11">
        <v>-47861.106560290253</v>
      </c>
      <c r="AI24" s="11">
        <v>-71791.659840435372</v>
      </c>
    </row>
    <row r="25" spans="1:35" x14ac:dyDescent="0.25">
      <c r="A25">
        <v>1519</v>
      </c>
      <c r="AG25" s="11">
        <v>49762.148928256676</v>
      </c>
      <c r="AH25" s="11">
        <v>-49762.148928256676</v>
      </c>
      <c r="AI25" s="11">
        <v>-74643.223392385014</v>
      </c>
    </row>
    <row r="26" spans="1:35" x14ac:dyDescent="0.25">
      <c r="A26">
        <v>1520</v>
      </c>
      <c r="AG26" s="11">
        <v>51686.557860488647</v>
      </c>
      <c r="AH26" s="11">
        <v>-51686.557860488647</v>
      </c>
      <c r="AI26" s="11">
        <v>-77529.836790732967</v>
      </c>
    </row>
    <row r="27" spans="1:35" x14ac:dyDescent="0.25">
      <c r="A27">
        <v>1521</v>
      </c>
      <c r="AG27" s="11">
        <v>53634.561407203211</v>
      </c>
      <c r="AH27" s="11">
        <v>-53634.561407203211</v>
      </c>
      <c r="AI27" s="11">
        <v>-80451.842110804821</v>
      </c>
    </row>
    <row r="28" spans="1:35" x14ac:dyDescent="0.25">
      <c r="A28">
        <v>1522</v>
      </c>
      <c r="AG28" s="11">
        <v>55606.389627420198</v>
      </c>
      <c r="AH28" s="11">
        <v>-55606.389627420198</v>
      </c>
      <c r="AI28" s="11">
        <v>-83409.584441130297</v>
      </c>
    </row>
    <row r="29" spans="1:35" x14ac:dyDescent="0.25">
      <c r="A29">
        <v>1523</v>
      </c>
      <c r="AG29" s="11">
        <v>57602.274605655417</v>
      </c>
      <c r="AH29" s="11">
        <v>-57602.274605655417</v>
      </c>
      <c r="AI29" s="11">
        <v>-86403.411908483133</v>
      </c>
    </row>
    <row r="30" spans="1:35" x14ac:dyDescent="0.25">
      <c r="A30">
        <v>1524</v>
      </c>
      <c r="AG30" s="11">
        <v>59622.450468747498</v>
      </c>
      <c r="AH30" s="11">
        <v>-59622.450468747498</v>
      </c>
      <c r="AI30" s="11">
        <v>-89433.675703121247</v>
      </c>
    </row>
    <row r="31" spans="1:35" x14ac:dyDescent="0.25">
      <c r="A31">
        <v>1525</v>
      </c>
      <c r="AG31" s="11">
        <v>61667.153402819393</v>
      </c>
      <c r="AH31" s="11">
        <v>-61667.153402819393</v>
      </c>
      <c r="AI31" s="11">
        <v>-92500.730104229093</v>
      </c>
    </row>
    <row r="32" spans="1:35" x14ac:dyDescent="0.25">
      <c r="A32">
        <v>1526</v>
      </c>
      <c r="AG32" s="11">
        <v>63736.62167037552</v>
      </c>
      <c r="AH32" s="11">
        <v>-63736.62167037552</v>
      </c>
      <c r="AI32" s="11">
        <v>-95604.93250556328</v>
      </c>
    </row>
    <row r="33" spans="1:35" x14ac:dyDescent="0.25">
      <c r="A33">
        <v>1527</v>
      </c>
      <c r="AG33" s="11">
        <v>65831.095627535731</v>
      </c>
      <c r="AH33" s="11">
        <v>-65831.095627535731</v>
      </c>
      <c r="AI33" s="11">
        <v>-98746.643441303604</v>
      </c>
    </row>
    <row r="34" spans="1:35" x14ac:dyDescent="0.25">
      <c r="A34">
        <v>1528</v>
      </c>
      <c r="AG34" s="11">
        <v>67950.817741406994</v>
      </c>
      <c r="AH34" s="11">
        <v>-67950.817741406994</v>
      </c>
      <c r="AI34" s="11">
        <v>-101926.22661211049</v>
      </c>
    </row>
    <row r="35" spans="1:35" x14ac:dyDescent="0.25">
      <c r="A35">
        <v>1529</v>
      </c>
      <c r="AG35" s="11">
        <v>70096.032607594083</v>
      </c>
      <c r="AH35" s="11">
        <v>-70096.032607594083</v>
      </c>
      <c r="AI35" s="11">
        <v>-105144.04891139112</v>
      </c>
    </row>
    <row r="36" spans="1:35" x14ac:dyDescent="0.25">
      <c r="A36">
        <v>1530</v>
      </c>
      <c r="AG36" s="11">
        <v>72266.986967850025</v>
      </c>
      <c r="AH36" s="11">
        <v>-72266.986967850025</v>
      </c>
      <c r="AI36" s="11">
        <v>-108400.48045177505</v>
      </c>
    </row>
    <row r="37" spans="1:35" x14ac:dyDescent="0.25">
      <c r="A37">
        <v>1531</v>
      </c>
      <c r="AG37" s="11">
        <v>74463.92972786793</v>
      </c>
      <c r="AH37" s="11">
        <v>-74463.92972786793</v>
      </c>
      <c r="AI37" s="11">
        <v>-111695.89459180189</v>
      </c>
    </row>
    <row r="38" spans="1:35" x14ac:dyDescent="0.25">
      <c r="A38">
        <v>1532</v>
      </c>
      <c r="AG38" s="11">
        <v>76687.111975214561</v>
      </c>
      <c r="AH38" s="11">
        <v>-76687.111975214561</v>
      </c>
      <c r="AI38" s="11">
        <v>-115030.66796282184</v>
      </c>
    </row>
    <row r="39" spans="1:35" x14ac:dyDescent="0.25">
      <c r="A39">
        <v>1533</v>
      </c>
      <c r="AG39" s="11">
        <v>78936.786997407631</v>
      </c>
      <c r="AH39" s="11">
        <v>-78936.786997407631</v>
      </c>
      <c r="AI39" s="11">
        <v>-118405.18049611145</v>
      </c>
    </row>
    <row r="40" spans="1:35" x14ac:dyDescent="0.25">
      <c r="A40">
        <v>1534</v>
      </c>
      <c r="AG40" s="11">
        <v>81213.210300137085</v>
      </c>
      <c r="AH40" s="11">
        <v>-81213.210300137085</v>
      </c>
      <c r="AI40" s="11">
        <v>-121819.81545020563</v>
      </c>
    </row>
    <row r="41" spans="1:35" x14ac:dyDescent="0.25">
      <c r="A41">
        <v>1535</v>
      </c>
      <c r="AG41" s="11">
        <v>83516.639625632059</v>
      </c>
      <c r="AH41" s="11">
        <v>-83516.639625632059</v>
      </c>
      <c r="AI41" s="11">
        <v>-125274.95943844809</v>
      </c>
    </row>
    <row r="42" spans="1:35" x14ac:dyDescent="0.25">
      <c r="A42">
        <v>1536</v>
      </c>
      <c r="AG42" s="11">
        <v>85847.334971174481</v>
      </c>
      <c r="AH42" s="11">
        <v>-85847.334971174481</v>
      </c>
      <c r="AI42" s="11">
        <v>-128771.00245676172</v>
      </c>
    </row>
    <row r="43" spans="1:35" x14ac:dyDescent="0.25">
      <c r="A43">
        <v>1537</v>
      </c>
      <c r="AG43" s="11">
        <v>88205.558607760409</v>
      </c>
      <c r="AH43" s="11">
        <v>-88205.558607760409</v>
      </c>
      <c r="AI43" s="11">
        <v>-132308.33791164061</v>
      </c>
    </row>
    <row r="44" spans="1:35" x14ac:dyDescent="0.25">
      <c r="A44">
        <v>1538</v>
      </c>
      <c r="AG44" s="11">
        <v>90591.575098910369</v>
      </c>
      <c r="AH44" s="11">
        <v>-90591.575098910369</v>
      </c>
      <c r="AI44" s="11">
        <v>-135887.36264836555</v>
      </c>
    </row>
    <row r="45" spans="1:35" x14ac:dyDescent="0.25">
      <c r="A45">
        <v>1539</v>
      </c>
      <c r="AG45" s="11">
        <v>93005.651319629527</v>
      </c>
      <c r="AH45" s="11">
        <v>-93005.651319629527</v>
      </c>
      <c r="AI45" s="11">
        <v>-139508.4769794443</v>
      </c>
    </row>
    <row r="46" spans="1:35" x14ac:dyDescent="0.25">
      <c r="A46">
        <v>1540</v>
      </c>
      <c r="AG46" s="11">
        <v>95448.056475519537</v>
      </c>
      <c r="AH46" s="11">
        <v>-95448.056475519537</v>
      </c>
      <c r="AI46" s="11">
        <v>-143172.0847132793</v>
      </c>
    </row>
    <row r="47" spans="1:35" x14ac:dyDescent="0.25">
      <c r="A47">
        <v>1541</v>
      </c>
      <c r="AG47" s="11">
        <v>97919.062122042349</v>
      </c>
      <c r="AH47" s="11">
        <v>-97919.062122042349</v>
      </c>
      <c r="AI47" s="11">
        <v>-146878.59318306352</v>
      </c>
    </row>
    <row r="48" spans="1:35" x14ac:dyDescent="0.25">
      <c r="A48">
        <v>1542</v>
      </c>
      <c r="AG48" s="11">
        <v>100418.94218393805</v>
      </c>
      <c r="AH48" s="11">
        <v>-100418.94218393805</v>
      </c>
      <c r="AI48" s="11">
        <v>-150628.41327590708</v>
      </c>
    </row>
    <row r="49" spans="1:35" x14ac:dyDescent="0.25">
      <c r="A49">
        <v>1543</v>
      </c>
      <c r="AG49" s="11">
        <v>102947.97297479714</v>
      </c>
      <c r="AH49" s="11">
        <v>-102947.97297479714</v>
      </c>
      <c r="AI49" s="11">
        <v>-154421.95946219572</v>
      </c>
    </row>
    <row r="50" spans="1:35" x14ac:dyDescent="0.25">
      <c r="A50">
        <v>1544</v>
      </c>
      <c r="AG50" s="11">
        <v>105506.43321678914</v>
      </c>
      <c r="AH50" s="11">
        <v>-105506.43321678914</v>
      </c>
      <c r="AI50" s="11">
        <v>-158259.6498251837</v>
      </c>
    </row>
    <row r="51" spans="1:35" x14ac:dyDescent="0.25">
      <c r="A51">
        <v>1545</v>
      </c>
      <c r="AG51" s="11">
        <v>108094.60406054817</v>
      </c>
      <c r="AH51" s="11">
        <v>-108094.60406054817</v>
      </c>
      <c r="AI51" s="11">
        <v>-162141.90609082225</v>
      </c>
    </row>
    <row r="52" spans="1:35" x14ac:dyDescent="0.25">
      <c r="A52">
        <v>1546</v>
      </c>
      <c r="AG52" s="11">
        <v>110712.76910521716</v>
      </c>
      <c r="AH52" s="11">
        <v>-110712.76910521716</v>
      </c>
      <c r="AI52" s="11">
        <v>-166069.15365782572</v>
      </c>
    </row>
    <row r="53" spans="1:35" x14ac:dyDescent="0.25">
      <c r="A53">
        <v>1547</v>
      </c>
      <c r="AG53" s="11">
        <v>113361.21441865159</v>
      </c>
      <c r="AH53" s="11">
        <v>-113361.21441865159</v>
      </c>
      <c r="AI53" s="11">
        <v>-170041.82162797739</v>
      </c>
    </row>
    <row r="54" spans="1:35" x14ac:dyDescent="0.25">
      <c r="A54">
        <v>1548</v>
      </c>
      <c r="AG54" s="11">
        <v>116040.22855778423</v>
      </c>
      <c r="AH54" s="11">
        <v>-116040.22855778423</v>
      </c>
      <c r="AI54" s="11">
        <v>-174060.34283667634</v>
      </c>
    </row>
    <row r="55" spans="1:35" x14ac:dyDescent="0.25">
      <c r="A55">
        <v>1549</v>
      </c>
      <c r="AG55" s="11">
        <v>118750.102589152</v>
      </c>
      <c r="AH55" s="11">
        <v>-118750.102589152</v>
      </c>
      <c r="AI55" s="11">
        <v>-178125.15388372799</v>
      </c>
    </row>
    <row r="56" spans="1:35" x14ac:dyDescent="0.25">
      <c r="A56">
        <v>1550</v>
      </c>
      <c r="AG56" s="11">
        <v>121491.13010958635</v>
      </c>
      <c r="AH56" s="11">
        <v>-121491.13010958635</v>
      </c>
      <c r="AI56" s="11">
        <v>-182236.69516437952</v>
      </c>
    </row>
    <row r="57" spans="1:35" x14ac:dyDescent="0.25">
      <c r="A57">
        <v>1551</v>
      </c>
      <c r="AG57" s="11">
        <v>124263.60726706818</v>
      </c>
      <c r="AH57" s="11">
        <v>-124263.60726706818</v>
      </c>
      <c r="AI57" s="11">
        <v>-186188.30488849047</v>
      </c>
    </row>
    <row r="58" spans="1:35" x14ac:dyDescent="0.25">
      <c r="A58">
        <v>1552</v>
      </c>
      <c r="AG58" s="11">
        <v>127067.83278174886</v>
      </c>
      <c r="AH58" s="11">
        <v>-127067.83278174886</v>
      </c>
      <c r="AI58" s="11">
        <v>-190178.18973001745</v>
      </c>
    </row>
    <row r="59" spans="1:35" x14ac:dyDescent="0.25">
      <c r="A59">
        <v>1553</v>
      </c>
      <c r="AG59" s="11">
        <v>129904.10796713849</v>
      </c>
      <c r="AH59" s="11">
        <v>-129904.10796713849</v>
      </c>
      <c r="AI59" s="11">
        <v>-194206.64141087205</v>
      </c>
    </row>
    <row r="60" spans="1:35" x14ac:dyDescent="0.25">
      <c r="A60">
        <v>1554</v>
      </c>
      <c r="AG60" s="11">
        <v>132772.73675146271</v>
      </c>
      <c r="AH60" s="11">
        <v>-132772.73675146271</v>
      </c>
      <c r="AI60" s="11">
        <v>-198273.95354885099</v>
      </c>
    </row>
    <row r="61" spans="1:35" x14ac:dyDescent="0.25">
      <c r="A61">
        <v>1555</v>
      </c>
      <c r="AG61" s="11">
        <v>135674.02569918917</v>
      </c>
      <c r="AH61" s="11">
        <v>-135674.02569918917</v>
      </c>
      <c r="AI61" s="11">
        <v>-202380.42166795718</v>
      </c>
    </row>
    <row r="62" spans="1:35" x14ac:dyDescent="0.25">
      <c r="A62">
        <v>1556</v>
      </c>
      <c r="AG62" s="11">
        <v>138608.28403272573</v>
      </c>
      <c r="AH62" s="11">
        <v>-138608.28403272573</v>
      </c>
      <c r="AI62" s="11">
        <v>-206526.34320876136</v>
      </c>
    </row>
    <row r="63" spans="1:35" x14ac:dyDescent="0.25">
      <c r="A63">
        <v>1557</v>
      </c>
      <c r="AG63" s="11">
        <v>141575.82365429046</v>
      </c>
      <c r="AH63" s="11">
        <v>-141575.82365429046</v>
      </c>
      <c r="AI63" s="11">
        <v>-210712.01753880235</v>
      </c>
    </row>
    <row r="64" spans="1:35" x14ac:dyDescent="0.25">
      <c r="A64">
        <v>1558</v>
      </c>
      <c r="AG64" s="11">
        <v>144576.95916795626</v>
      </c>
      <c r="AH64" s="11">
        <v>-144576.95916795626</v>
      </c>
      <c r="AI64" s="11">
        <v>-214937.74596302834</v>
      </c>
    </row>
    <row r="65" spans="1:35" x14ac:dyDescent="0.25">
      <c r="A65">
        <v>1559</v>
      </c>
      <c r="AG65" s="11">
        <v>147612.00790186992</v>
      </c>
      <c r="AH65" s="11">
        <v>-147612.00790186992</v>
      </c>
      <c r="AI65" s="11">
        <v>-219203.83173427684</v>
      </c>
    </row>
    <row r="66" spans="1:35" x14ac:dyDescent="0.25">
      <c r="A66">
        <v>1560</v>
      </c>
      <c r="AG66" s="11">
        <v>150681.28993064823</v>
      </c>
      <c r="AH66" s="11">
        <v>-150681.28993064823</v>
      </c>
      <c r="AI66" s="11">
        <v>-223510.58006379491</v>
      </c>
    </row>
    <row r="67" spans="1:35" x14ac:dyDescent="0.25">
      <c r="A67">
        <v>1561</v>
      </c>
      <c r="AG67" s="11">
        <v>153785.12809795199</v>
      </c>
      <c r="AH67" s="11">
        <v>-153785.12809795199</v>
      </c>
      <c r="AI67" s="11">
        <v>-227858.29813179892</v>
      </c>
    </row>
    <row r="68" spans="1:35" x14ac:dyDescent="0.25">
      <c r="A68">
        <v>1562</v>
      </c>
      <c r="AG68" s="11">
        <v>156923.84803923918</v>
      </c>
      <c r="AH68" s="11">
        <v>-156923.84803923918</v>
      </c>
      <c r="AI68" s="11">
        <v>-232247.29509807401</v>
      </c>
    </row>
    <row r="69" spans="1:35" x14ac:dyDescent="0.25">
      <c r="A69">
        <v>1563</v>
      </c>
      <c r="AG69" s="11">
        <v>160097.77820469873</v>
      </c>
      <c r="AH69" s="11">
        <v>-160097.77820469873</v>
      </c>
      <c r="AI69" s="11">
        <v>-236677.88211261301</v>
      </c>
    </row>
    <row r="70" spans="1:35" x14ac:dyDescent="0.25">
      <c r="A70">
        <v>1564</v>
      </c>
      <c r="AG70" s="11">
        <v>163307.24988236683</v>
      </c>
      <c r="AH70" s="11">
        <v>-163307.24988236683</v>
      </c>
      <c r="AI70" s="11">
        <v>-241150.37232629507</v>
      </c>
    </row>
    <row r="71" spans="1:35" x14ac:dyDescent="0.25">
      <c r="A71">
        <v>1565</v>
      </c>
      <c r="AG71" s="11">
        <v>166552.5972214262</v>
      </c>
      <c r="AH71" s="11">
        <v>-166552.5972214262</v>
      </c>
      <c r="AI71" s="11">
        <v>-245665.08090160368</v>
      </c>
    </row>
    <row r="72" spans="1:35" x14ac:dyDescent="0.25">
      <c r="A72">
        <v>1566</v>
      </c>
      <c r="AG72" s="11">
        <v>169834.15725569069</v>
      </c>
      <c r="AH72" s="11">
        <v>-169834.15725569069</v>
      </c>
      <c r="AI72" s="11">
        <v>-250222.32502338433</v>
      </c>
    </row>
    <row r="73" spans="1:35" x14ac:dyDescent="0.25">
      <c r="A73">
        <v>1567</v>
      </c>
      <c r="AG73" s="11">
        <v>173152.26992727612</v>
      </c>
      <c r="AH73" s="11">
        <v>-173152.26992727612</v>
      </c>
      <c r="AI73" s="11">
        <v>-254822.42390964139</v>
      </c>
    </row>
    <row r="74" spans="1:35" x14ac:dyDescent="0.25">
      <c r="A74">
        <v>1568</v>
      </c>
      <c r="AG74" s="11">
        <v>176507.27811045889</v>
      </c>
      <c r="AH74" s="11">
        <v>-176507.27811045889</v>
      </c>
      <c r="AI74" s="11">
        <v>-259465.69882237463</v>
      </c>
    </row>
    <row r="75" spans="1:35" x14ac:dyDescent="0.25">
      <c r="A75">
        <v>1569</v>
      </c>
      <c r="AG75" s="11">
        <v>179899.52763572391</v>
      </c>
      <c r="AH75" s="11">
        <v>-179899.52763572391</v>
      </c>
      <c r="AI75" s="11">
        <v>-264152.47307845461</v>
      </c>
    </row>
    <row r="76" spans="1:35" x14ac:dyDescent="0.25">
      <c r="A76">
        <v>1570</v>
      </c>
      <c r="AG76" s="11">
        <v>183333.33333333299</v>
      </c>
      <c r="AH76" s="11">
        <v>-183333.33333333299</v>
      </c>
      <c r="AI76" s="11">
        <v>-268888.88888888847</v>
      </c>
    </row>
    <row r="77" spans="1:35" x14ac:dyDescent="0.25">
      <c r="A77">
        <v>1571</v>
      </c>
      <c r="AG77" s="11">
        <v>186947.22222222187</v>
      </c>
      <c r="AH77" s="11">
        <v>-186947.22222222187</v>
      </c>
      <c r="AI77" s="11">
        <v>-273877.6805555551</v>
      </c>
    </row>
    <row r="78" spans="1:35" x14ac:dyDescent="0.25">
      <c r="A78">
        <v>1572</v>
      </c>
      <c r="AG78" s="11">
        <v>187777.7777777774</v>
      </c>
      <c r="AH78" s="11">
        <v>-187777.7777777774</v>
      </c>
      <c r="AI78" s="11">
        <v>-274781.48148148099</v>
      </c>
    </row>
    <row r="79" spans="1:35" x14ac:dyDescent="0.25">
      <c r="A79">
        <v>1573</v>
      </c>
      <c r="AG79" s="11">
        <v>188574.99999999959</v>
      </c>
      <c r="AH79" s="11">
        <v>-188574.99999999959</v>
      </c>
      <c r="AI79" s="11">
        <v>-275633.79166666616</v>
      </c>
    </row>
    <row r="80" spans="1:35" x14ac:dyDescent="0.25">
      <c r="A80">
        <v>1574</v>
      </c>
      <c r="AG80" s="11">
        <v>189338.8888888885</v>
      </c>
      <c r="AH80" s="11">
        <v>-189338.8888888885</v>
      </c>
      <c r="AI80" s="11">
        <v>-276434.77777777729</v>
      </c>
    </row>
    <row r="81" spans="1:35" x14ac:dyDescent="0.25">
      <c r="A81">
        <v>1575</v>
      </c>
      <c r="AG81" s="11">
        <v>190069.44444444406</v>
      </c>
      <c r="AH81" s="11">
        <v>-190069.44444444406</v>
      </c>
      <c r="AI81" s="11">
        <v>-277184.60648148099</v>
      </c>
    </row>
    <row r="82" spans="1:35" x14ac:dyDescent="0.25">
      <c r="A82">
        <v>1576</v>
      </c>
      <c r="AG82" s="11">
        <v>190274.99999999959</v>
      </c>
      <c r="AH82" s="11">
        <v>-190274.99999999959</v>
      </c>
      <c r="AI82" s="11">
        <v>-277167.24999999948</v>
      </c>
    </row>
    <row r="83" spans="1:35" x14ac:dyDescent="0.25">
      <c r="A83">
        <v>1577</v>
      </c>
      <c r="AG83" s="11">
        <v>190933.33333333291</v>
      </c>
      <c r="AH83" s="11">
        <v>-190933.33333333291</v>
      </c>
      <c r="AI83" s="11">
        <v>-277807.99999999948</v>
      </c>
    </row>
    <row r="84" spans="1:35" x14ac:dyDescent="0.25">
      <c r="A84">
        <v>1578</v>
      </c>
      <c r="C84">
        <v>100000</v>
      </c>
      <c r="AB84" s="11">
        <v>50000</v>
      </c>
      <c r="AC84" s="11">
        <v>50000</v>
      </c>
      <c r="AD84">
        <v>0</v>
      </c>
      <c r="AE84">
        <v>0</v>
      </c>
      <c r="AF84" s="11">
        <v>100000</v>
      </c>
      <c r="AG84" s="11">
        <v>193569.44444444403</v>
      </c>
      <c r="AH84" s="11">
        <v>-93569.444444444031</v>
      </c>
      <c r="AI84" s="11">
        <v>-181320.92592592543</v>
      </c>
    </row>
    <row r="85" spans="1:35" x14ac:dyDescent="0.25">
      <c r="A85">
        <v>1579</v>
      </c>
      <c r="C85">
        <v>100000</v>
      </c>
      <c r="AB85" s="11">
        <v>50000</v>
      </c>
      <c r="AC85" s="11">
        <v>50000</v>
      </c>
      <c r="AD85">
        <v>0</v>
      </c>
      <c r="AE85">
        <v>0</v>
      </c>
      <c r="AF85" s="11">
        <v>100000</v>
      </c>
      <c r="AG85" s="11">
        <v>196724.99999999956</v>
      </c>
      <c r="AH85" s="11">
        <v>-96724.999999999563</v>
      </c>
      <c r="AI85" s="11">
        <v>-185579.12499999948</v>
      </c>
    </row>
    <row r="86" spans="1:35" x14ac:dyDescent="0.25">
      <c r="A86">
        <v>1580</v>
      </c>
      <c r="C86">
        <v>100000</v>
      </c>
      <c r="AB86" s="11">
        <v>50000</v>
      </c>
      <c r="AC86" s="11">
        <v>50000</v>
      </c>
      <c r="AD86">
        <v>0</v>
      </c>
      <c r="AE86">
        <v>0</v>
      </c>
      <c r="AF86" s="11">
        <v>100000</v>
      </c>
      <c r="AG86" s="11">
        <v>200416.66666666622</v>
      </c>
      <c r="AH86" s="11">
        <v>-100416.66666666622</v>
      </c>
      <c r="AI86" s="11">
        <v>-190604.1666666661</v>
      </c>
    </row>
    <row r="87" spans="1:35" x14ac:dyDescent="0.25">
      <c r="A87">
        <v>1581</v>
      </c>
      <c r="C87">
        <v>100000</v>
      </c>
      <c r="K87" s="10"/>
      <c r="L87" s="10"/>
      <c r="M87" s="10"/>
      <c r="N87" s="10"/>
      <c r="O87" s="10"/>
      <c r="P87" s="10"/>
      <c r="Q87" s="10"/>
      <c r="R87" s="10"/>
      <c r="S87" s="10"/>
      <c r="AB87" s="11">
        <v>50000</v>
      </c>
      <c r="AC87" s="11">
        <v>50000</v>
      </c>
      <c r="AD87">
        <v>0</v>
      </c>
      <c r="AE87">
        <v>0</v>
      </c>
      <c r="AF87" s="11">
        <v>100000</v>
      </c>
      <c r="AG87" s="11">
        <v>203191.08333333285</v>
      </c>
      <c r="AH87" s="11">
        <v>-103191.08333333285</v>
      </c>
      <c r="AI87" s="11">
        <v>-194288.41902777718</v>
      </c>
    </row>
    <row r="88" spans="1:35" x14ac:dyDescent="0.25">
      <c r="A88">
        <v>1582</v>
      </c>
      <c r="C88">
        <v>100000</v>
      </c>
      <c r="K88" s="10"/>
      <c r="L88" s="10"/>
      <c r="M88" s="10"/>
      <c r="N88" s="10"/>
      <c r="O88" s="10"/>
      <c r="P88" s="10"/>
      <c r="Q88" s="10"/>
      <c r="R88" s="10"/>
      <c r="S88" s="10"/>
      <c r="AB88" s="11">
        <v>50000</v>
      </c>
      <c r="AC88" s="11">
        <v>50000</v>
      </c>
      <c r="AD88">
        <v>0</v>
      </c>
      <c r="AE88">
        <v>0</v>
      </c>
      <c r="AF88" s="11">
        <v>100000</v>
      </c>
      <c r="AG88" s="11">
        <v>207555.34274999949</v>
      </c>
      <c r="AH88" s="11">
        <v>-107555.34274999949</v>
      </c>
      <c r="AI88" s="11">
        <v>-200263.39584499935</v>
      </c>
    </row>
    <row r="89" spans="1:35" x14ac:dyDescent="0.25">
      <c r="A89">
        <v>1583</v>
      </c>
      <c r="C89">
        <v>100000</v>
      </c>
      <c r="K89" s="10"/>
      <c r="L89" s="10"/>
      <c r="M89" s="10"/>
      <c r="N89" s="10"/>
      <c r="O89" s="10"/>
      <c r="P89" s="10"/>
      <c r="Q89" s="10"/>
      <c r="R89" s="10"/>
      <c r="S89" s="10"/>
      <c r="AB89" s="11">
        <v>50000</v>
      </c>
      <c r="AC89" s="11">
        <v>50000</v>
      </c>
      <c r="AD89">
        <v>0</v>
      </c>
      <c r="AE89">
        <v>0</v>
      </c>
      <c r="AF89" s="11">
        <v>100000</v>
      </c>
      <c r="AG89" s="11">
        <v>211972.61733674942</v>
      </c>
      <c r="AH89" s="11">
        <v>-111972.61733674942</v>
      </c>
      <c r="AI89" s="11">
        <v>-206300.43205160304</v>
      </c>
    </row>
    <row r="90" spans="1:35" x14ac:dyDescent="0.25">
      <c r="A90">
        <v>1584</v>
      </c>
      <c r="C90">
        <v>100000</v>
      </c>
      <c r="K90" s="10"/>
      <c r="L90" s="10"/>
      <c r="M90" s="10"/>
      <c r="N90" s="10"/>
      <c r="O90" s="10"/>
      <c r="P90" s="10"/>
      <c r="Q90" s="10"/>
      <c r="R90" s="10"/>
      <c r="S90" s="10"/>
      <c r="AB90" s="11">
        <v>50000</v>
      </c>
      <c r="AC90" s="11">
        <v>50000</v>
      </c>
      <c r="AD90">
        <v>0</v>
      </c>
      <c r="AE90">
        <v>0</v>
      </c>
      <c r="AF90" s="11">
        <v>100000</v>
      </c>
      <c r="AG90" s="11">
        <v>216443.13590626846</v>
      </c>
      <c r="AH90" s="11">
        <v>-116443.13590626846</v>
      </c>
      <c r="AI90" s="11">
        <v>-212399.59282471429</v>
      </c>
    </row>
    <row r="91" spans="1:35" x14ac:dyDescent="0.25">
      <c r="A91">
        <v>1585</v>
      </c>
      <c r="C91">
        <v>100000</v>
      </c>
      <c r="K91" s="10"/>
      <c r="L91" s="10"/>
      <c r="M91" s="10"/>
      <c r="N91" s="10"/>
      <c r="O91" s="10"/>
      <c r="P91" s="10"/>
      <c r="Q91" s="10"/>
      <c r="R91" s="10"/>
      <c r="S91" s="10"/>
      <c r="AB91" s="11">
        <v>50000</v>
      </c>
      <c r="AC91" s="11">
        <v>50000</v>
      </c>
      <c r="AD91">
        <v>0</v>
      </c>
      <c r="AE91">
        <v>0</v>
      </c>
      <c r="AF91" s="11">
        <v>100000</v>
      </c>
      <c r="AG91" s="11">
        <v>220967.12816698197</v>
      </c>
      <c r="AH91" s="11">
        <v>-120967.12816698197</v>
      </c>
      <c r="AI91" s="11">
        <v>-218560.94310739913</v>
      </c>
    </row>
    <row r="92" spans="1:35" x14ac:dyDescent="0.25">
      <c r="A92">
        <v>1586</v>
      </c>
      <c r="C92">
        <v>100000</v>
      </c>
      <c r="K92" s="10"/>
      <c r="L92" s="10"/>
      <c r="M92" s="10"/>
      <c r="N92" s="10"/>
      <c r="O92" s="10"/>
      <c r="P92" s="10"/>
      <c r="Q92" s="10"/>
      <c r="R92" s="10"/>
      <c r="S92" s="10"/>
      <c r="AB92" s="11">
        <v>50000</v>
      </c>
      <c r="AC92" s="11">
        <v>50000</v>
      </c>
      <c r="AD92">
        <v>0</v>
      </c>
      <c r="AE92">
        <v>0</v>
      </c>
      <c r="AF92" s="11">
        <v>100000</v>
      </c>
      <c r="AG92" s="11">
        <v>225544.82472636987</v>
      </c>
      <c r="AH92" s="11">
        <v>-125544.82472636987</v>
      </c>
      <c r="AI92" s="11">
        <v>-224784.54760597277</v>
      </c>
    </row>
    <row r="93" spans="1:35" x14ac:dyDescent="0.25">
      <c r="A93">
        <v>1587</v>
      </c>
      <c r="C93">
        <v>100000</v>
      </c>
      <c r="K93" s="10"/>
      <c r="L93" s="10"/>
      <c r="M93" s="10"/>
      <c r="N93" s="10"/>
      <c r="O93" s="10"/>
      <c r="P93" s="10"/>
      <c r="Q93" s="10"/>
      <c r="R93" s="10"/>
      <c r="S93" s="10"/>
      <c r="AB93" s="11">
        <v>50000</v>
      </c>
      <c r="AC93" s="11">
        <v>50000</v>
      </c>
      <c r="AD93">
        <v>0</v>
      </c>
      <c r="AE93">
        <v>0</v>
      </c>
      <c r="AF93" s="11">
        <v>100000</v>
      </c>
      <c r="AG93" s="11">
        <v>230176.45709429396</v>
      </c>
      <c r="AH93" s="11">
        <v>-130176.45709429396</v>
      </c>
      <c r="AI93" s="11">
        <v>-231070.47078729296</v>
      </c>
    </row>
    <row r="94" spans="1:35" x14ac:dyDescent="0.25">
      <c r="A94">
        <v>1588</v>
      </c>
      <c r="C94">
        <v>140000</v>
      </c>
      <c r="K94" s="10"/>
      <c r="L94" s="10"/>
      <c r="M94" s="10"/>
      <c r="N94" s="10"/>
      <c r="O94" s="10"/>
      <c r="P94" s="10"/>
      <c r="Q94" s="10"/>
      <c r="R94" s="10"/>
      <c r="S94" s="10"/>
      <c r="AB94" s="11">
        <v>70000</v>
      </c>
      <c r="AC94" s="11">
        <v>70000</v>
      </c>
      <c r="AD94">
        <v>0</v>
      </c>
      <c r="AE94">
        <v>0</v>
      </c>
      <c r="AF94" s="11">
        <v>140000</v>
      </c>
      <c r="AG94" s="11">
        <v>234862.25768633635</v>
      </c>
      <c r="AH94" s="11">
        <v>-94862.25768633635</v>
      </c>
      <c r="AI94" s="11">
        <v>-197418.77687603672</v>
      </c>
    </row>
    <row r="95" spans="1:35" x14ac:dyDescent="0.25">
      <c r="A95">
        <v>1589</v>
      </c>
      <c r="C95">
        <v>180000</v>
      </c>
      <c r="K95" s="10"/>
      <c r="L95" s="10"/>
      <c r="M95" s="10"/>
      <c r="N95" s="10"/>
      <c r="O95" s="10"/>
      <c r="P95" s="10"/>
      <c r="Q95" s="10"/>
      <c r="R95" s="10"/>
      <c r="S95" s="10"/>
      <c r="AB95" s="11">
        <v>90000</v>
      </c>
      <c r="AC95" s="11">
        <v>90000</v>
      </c>
      <c r="AD95">
        <v>0</v>
      </c>
      <c r="AE95">
        <v>0</v>
      </c>
      <c r="AF95" s="11">
        <v>180000</v>
      </c>
      <c r="AG95" s="11">
        <v>239602.45982715051</v>
      </c>
      <c r="AH95" s="11">
        <v>-59602.459827150509</v>
      </c>
      <c r="AI95" s="11">
        <v>-163829.52985196115</v>
      </c>
    </row>
    <row r="96" spans="1:35" x14ac:dyDescent="0.25">
      <c r="A96">
        <v>1590</v>
      </c>
      <c r="B96">
        <v>0</v>
      </c>
      <c r="C96">
        <v>220000</v>
      </c>
      <c r="D96" s="11">
        <v>0</v>
      </c>
      <c r="E96" s="11"/>
      <c r="F96" s="11"/>
      <c r="G96" s="11"/>
      <c r="K96" s="12">
        <v>0.56607190640559235</v>
      </c>
      <c r="L96" s="12">
        <v>1.1260293212887229</v>
      </c>
      <c r="M96" s="12">
        <v>-0.12567773676100094</v>
      </c>
      <c r="N96" s="10">
        <v>0</v>
      </c>
      <c r="O96" s="10"/>
      <c r="P96" s="10"/>
      <c r="Q96" s="10"/>
      <c r="R96" s="12">
        <v>0.42282925418638728</v>
      </c>
      <c r="S96" s="12">
        <v>0.52507918693392208</v>
      </c>
      <c r="U96" s="11">
        <v>220139.90480302286</v>
      </c>
      <c r="V96">
        <v>0</v>
      </c>
      <c r="Z96" s="11">
        <v>20012.718618456624</v>
      </c>
      <c r="AB96" s="11">
        <v>110000</v>
      </c>
      <c r="AC96" s="11">
        <v>110000</v>
      </c>
      <c r="AD96">
        <v>0</v>
      </c>
      <c r="AE96">
        <v>0</v>
      </c>
      <c r="AF96" s="11">
        <v>220000</v>
      </c>
      <c r="AG96" s="11">
        <v>244397.29775382369</v>
      </c>
      <c r="AH96" s="11">
        <v>-24397.297753823688</v>
      </c>
      <c r="AI96" s="11">
        <v>-130302.79344714746</v>
      </c>
    </row>
    <row r="97" spans="1:35" x14ac:dyDescent="0.25">
      <c r="A97">
        <v>1591</v>
      </c>
      <c r="B97">
        <v>0</v>
      </c>
      <c r="C97">
        <v>260000</v>
      </c>
      <c r="D97" s="11">
        <v>0</v>
      </c>
      <c r="E97" s="11"/>
      <c r="F97" s="11"/>
      <c r="G97" s="11"/>
      <c r="K97" s="12">
        <v>0.57733127975266652</v>
      </c>
      <c r="L97" s="12">
        <v>1.1278172517472111</v>
      </c>
      <c r="M97" s="12">
        <v>-0.11337890851042193</v>
      </c>
      <c r="N97" s="10">
        <v>0</v>
      </c>
      <c r="O97" s="10"/>
      <c r="P97" s="10"/>
      <c r="Q97" s="10"/>
      <c r="R97" s="12">
        <v>0.42313936073118918</v>
      </c>
      <c r="S97" s="12">
        <v>0.52506787451479042</v>
      </c>
      <c r="U97" s="11">
        <v>260210.13033804495</v>
      </c>
      <c r="V97">
        <v>0</v>
      </c>
      <c r="Z97" s="11">
        <v>23655.466394367722</v>
      </c>
      <c r="AB97" s="11">
        <v>130000</v>
      </c>
      <c r="AC97" s="11">
        <v>130000</v>
      </c>
      <c r="AD97">
        <v>0</v>
      </c>
      <c r="AE97">
        <v>0</v>
      </c>
      <c r="AF97" s="11">
        <v>260000</v>
      </c>
      <c r="AG97" s="11">
        <v>250972.0066192518</v>
      </c>
      <c r="AH97" s="11">
        <v>9027.9933807482012</v>
      </c>
      <c r="AI97" s="11">
        <v>-99308.256143228995</v>
      </c>
    </row>
    <row r="98" spans="1:35" x14ac:dyDescent="0.25">
      <c r="A98">
        <v>1592</v>
      </c>
      <c r="B98">
        <v>0</v>
      </c>
      <c r="C98">
        <v>300000</v>
      </c>
      <c r="D98" s="11">
        <v>0</v>
      </c>
      <c r="E98" s="11"/>
      <c r="F98" s="11"/>
      <c r="G98" s="11"/>
      <c r="K98" s="12">
        <v>0.58859065309974057</v>
      </c>
      <c r="L98" s="12">
        <v>1.1296051822056994</v>
      </c>
      <c r="M98" s="12">
        <v>-0.10108008025984294</v>
      </c>
      <c r="N98" s="10">
        <v>0</v>
      </c>
      <c r="O98" s="10"/>
      <c r="P98" s="10"/>
      <c r="Q98" s="10"/>
      <c r="R98" s="12">
        <v>0.42344946727599103</v>
      </c>
      <c r="S98" s="12">
        <v>0.52505656209565865</v>
      </c>
      <c r="U98" s="11">
        <v>300294.13688786968</v>
      </c>
      <c r="V98">
        <v>0</v>
      </c>
      <c r="Z98" s="11">
        <v>27299.466989806333</v>
      </c>
      <c r="AB98" s="11">
        <v>150000</v>
      </c>
      <c r="AC98" s="11">
        <v>150000</v>
      </c>
      <c r="AD98">
        <v>0</v>
      </c>
      <c r="AE98">
        <v>0</v>
      </c>
      <c r="AF98" s="11">
        <v>300000</v>
      </c>
      <c r="AG98" s="11">
        <v>257640.38082885934</v>
      </c>
      <c r="AH98" s="11">
        <v>42359.619171140657</v>
      </c>
      <c r="AI98" s="11">
        <v>-68425.744585269043</v>
      </c>
    </row>
    <row r="99" spans="1:35" x14ac:dyDescent="0.25">
      <c r="A99">
        <v>1593</v>
      </c>
      <c r="B99">
        <v>0</v>
      </c>
      <c r="C99">
        <v>340000</v>
      </c>
      <c r="D99" s="11">
        <v>0</v>
      </c>
      <c r="E99" s="11"/>
      <c r="F99" s="11"/>
      <c r="G99" s="11"/>
      <c r="K99" s="12">
        <v>0.59985002644681473</v>
      </c>
      <c r="L99" s="12">
        <v>1.1313931126641876</v>
      </c>
      <c r="M99" s="12">
        <v>-8.8781252009263928E-2</v>
      </c>
      <c r="N99" s="10">
        <v>0</v>
      </c>
      <c r="O99" s="10"/>
      <c r="P99" s="10"/>
      <c r="Q99" s="10"/>
      <c r="R99" s="12">
        <v>0.42375957382079288</v>
      </c>
      <c r="S99" s="12">
        <v>0.52504524967652688</v>
      </c>
      <c r="U99" s="11">
        <v>340391.92445249704</v>
      </c>
      <c r="V99">
        <v>0</v>
      </c>
      <c r="Z99" s="11">
        <v>30944.720404772455</v>
      </c>
      <c r="AB99" s="11">
        <v>170000</v>
      </c>
      <c r="AC99" s="11">
        <v>170000</v>
      </c>
      <c r="AD99">
        <v>0</v>
      </c>
      <c r="AE99">
        <v>0</v>
      </c>
      <c r="AF99" s="11">
        <v>340000</v>
      </c>
      <c r="AG99" s="11">
        <v>264402.82320233167</v>
      </c>
      <c r="AH99" s="11">
        <v>75597.176797668333</v>
      </c>
      <c r="AI99" s="11">
        <v>-37655.365807330585</v>
      </c>
    </row>
    <row r="100" spans="1:35" x14ac:dyDescent="0.25">
      <c r="A100">
        <v>1594</v>
      </c>
      <c r="B100">
        <v>400000</v>
      </c>
      <c r="C100">
        <v>380000</v>
      </c>
      <c r="D100" s="11">
        <v>29786.846836272685</v>
      </c>
      <c r="E100" s="11">
        <v>-35458.106963291444</v>
      </c>
      <c r="F100" s="13">
        <v>0.19004470677457358</v>
      </c>
      <c r="G100" s="11">
        <v>-21710.210019635524</v>
      </c>
      <c r="K100" s="12">
        <v>0.61110939979388879</v>
      </c>
      <c r="L100" s="12">
        <v>1.1331810431226759</v>
      </c>
      <c r="M100" s="12">
        <v>-7.6482423758684914E-2</v>
      </c>
      <c r="N100" s="10">
        <v>373100.55920899409</v>
      </c>
      <c r="O100" s="10"/>
      <c r="P100" s="10"/>
      <c r="Q100" s="10"/>
      <c r="R100" s="12">
        <v>0.42406968036559478</v>
      </c>
      <c r="S100" s="12">
        <v>0.52503393725739522</v>
      </c>
      <c r="U100" s="11">
        <v>380503.49303192727</v>
      </c>
      <c r="V100" s="11">
        <v>343313.71237272141</v>
      </c>
      <c r="Z100" s="11">
        <v>34591.226639266111</v>
      </c>
      <c r="AB100" s="11">
        <v>0</v>
      </c>
      <c r="AC100">
        <v>240000</v>
      </c>
      <c r="AD100">
        <v>100000</v>
      </c>
      <c r="AE100">
        <v>40000</v>
      </c>
      <c r="AF100" s="11">
        <v>380000</v>
      </c>
      <c r="AG100" s="11">
        <v>271259.73813328403</v>
      </c>
      <c r="AH100" s="11">
        <v>108740.26186671597</v>
      </c>
      <c r="AI100" s="11">
        <v>-6997.2264034854015</v>
      </c>
    </row>
    <row r="101" spans="1:35" x14ac:dyDescent="0.25">
      <c r="A101">
        <v>1595</v>
      </c>
      <c r="B101">
        <v>400000</v>
      </c>
      <c r="C101">
        <v>420000</v>
      </c>
      <c r="D101" s="11">
        <v>37638.871829238487</v>
      </c>
      <c r="E101" s="11">
        <v>-31559.522842837305</v>
      </c>
      <c r="F101" s="13">
        <v>0.20141295531792636</v>
      </c>
      <c r="G101" s="11">
        <v>-13895.842928444923</v>
      </c>
      <c r="K101" s="12">
        <v>0.62236877314096295</v>
      </c>
      <c r="L101" s="12">
        <v>1.1349689735811643</v>
      </c>
      <c r="M101" s="12">
        <v>-6.4183595508105928E-2</v>
      </c>
      <c r="N101" s="10">
        <v>381203.63688046124</v>
      </c>
      <c r="O101" s="10"/>
      <c r="P101" s="10"/>
      <c r="Q101" s="10"/>
      <c r="R101" s="12">
        <v>0.42437978691039663</v>
      </c>
      <c r="S101" s="12">
        <v>0.52502262483826345</v>
      </c>
      <c r="U101" s="11">
        <v>420628.84262616007</v>
      </c>
      <c r="V101" s="11">
        <v>343564.76505122276</v>
      </c>
      <c r="Z101" s="11">
        <v>38238.985693287279</v>
      </c>
      <c r="AB101" s="11">
        <v>20000</v>
      </c>
      <c r="AC101">
        <v>240000</v>
      </c>
      <c r="AD101">
        <v>100000</v>
      </c>
      <c r="AE101">
        <v>40000</v>
      </c>
      <c r="AF101" s="11">
        <v>400000</v>
      </c>
      <c r="AG101" s="11">
        <v>278211.53159507993</v>
      </c>
      <c r="AH101" s="11">
        <v>121788.46840492007</v>
      </c>
      <c r="AI101" s="11">
        <v>3548.567477010889</v>
      </c>
    </row>
    <row r="102" spans="1:35" x14ac:dyDescent="0.25">
      <c r="A102">
        <v>1596</v>
      </c>
      <c r="B102">
        <v>400000</v>
      </c>
      <c r="C102">
        <v>460000</v>
      </c>
      <c r="D102" s="11">
        <v>45490.896822204231</v>
      </c>
      <c r="E102" s="11">
        <v>-26131.498206751621</v>
      </c>
      <c r="F102" s="13">
        <v>0.20831617201876002</v>
      </c>
      <c r="G102" s="11">
        <v>-6081.4758372543947</v>
      </c>
      <c r="K102" s="12">
        <v>0.633628146488037</v>
      </c>
      <c r="L102" s="12">
        <v>1.1367569040396526</v>
      </c>
      <c r="M102" s="12">
        <v>-5.1884767257526915E-2</v>
      </c>
      <c r="N102" s="10">
        <v>389306.71455192839</v>
      </c>
      <c r="O102" s="10"/>
      <c r="P102" s="10"/>
      <c r="Q102" s="10"/>
      <c r="R102" s="12">
        <v>0.42468989345519853</v>
      </c>
      <c r="S102" s="12">
        <v>0.52501131241913179</v>
      </c>
      <c r="U102" s="11">
        <v>460767.97323519568</v>
      </c>
      <c r="V102" s="11">
        <v>343815.81772972416</v>
      </c>
      <c r="X102" s="14"/>
      <c r="Z102" s="11">
        <v>41887.997566835977</v>
      </c>
      <c r="AB102" s="11">
        <v>60000</v>
      </c>
      <c r="AC102">
        <v>240000</v>
      </c>
      <c r="AD102">
        <v>100000</v>
      </c>
      <c r="AE102">
        <v>40000</v>
      </c>
      <c r="AF102" s="11">
        <v>440000</v>
      </c>
      <c r="AG102" s="11">
        <v>285258.61114667007</v>
      </c>
      <c r="AH102" s="11">
        <v>154741.38885332993</v>
      </c>
      <c r="AI102" s="11">
        <v>33981.91013457271</v>
      </c>
    </row>
    <row r="103" spans="1:35" x14ac:dyDescent="0.25">
      <c r="A103">
        <v>1597</v>
      </c>
      <c r="B103">
        <v>400000</v>
      </c>
      <c r="C103">
        <v>500000</v>
      </c>
      <c r="D103" s="11">
        <v>53342.921815170383</v>
      </c>
      <c r="E103" s="11">
        <v>-20336.917689040394</v>
      </c>
      <c r="F103" s="13">
        <v>0.21414395235667941</v>
      </c>
      <c r="G103" s="11">
        <v>1732.8912539365992</v>
      </c>
      <c r="K103" s="12">
        <v>0.64488751983511117</v>
      </c>
      <c r="L103" s="12">
        <v>1.1385448344981408</v>
      </c>
      <c r="M103" s="12">
        <v>-3.9585939006947929E-2</v>
      </c>
      <c r="N103" s="10">
        <v>397409.79222339561</v>
      </c>
      <c r="O103" s="10"/>
      <c r="P103" s="10"/>
      <c r="Q103" s="10"/>
      <c r="R103" s="12">
        <v>0.42499999999999999</v>
      </c>
      <c r="S103" s="12">
        <v>0.52500000000000002</v>
      </c>
      <c r="U103" s="11">
        <v>500920.8848590338</v>
      </c>
      <c r="V103" s="11">
        <v>344066.87040822522</v>
      </c>
      <c r="Z103" s="11">
        <v>45538.262259912161</v>
      </c>
      <c r="AB103" s="11">
        <v>100000</v>
      </c>
      <c r="AC103">
        <v>240000</v>
      </c>
      <c r="AD103">
        <v>100000</v>
      </c>
      <c r="AE103">
        <v>40000</v>
      </c>
      <c r="AF103" s="11">
        <v>480000</v>
      </c>
      <c r="AG103" s="11">
        <v>292401.38593845203</v>
      </c>
      <c r="AH103" s="11">
        <v>187598.61406154797</v>
      </c>
      <c r="AI103" s="11">
        <v>64302.696324167133</v>
      </c>
    </row>
    <row r="104" spans="1:35" x14ac:dyDescent="0.25">
      <c r="A104">
        <v>1598</v>
      </c>
      <c r="B104">
        <v>400000</v>
      </c>
      <c r="C104" s="11">
        <v>500000</v>
      </c>
      <c r="D104" s="11">
        <v>61445.999486637535</v>
      </c>
      <c r="E104" s="11">
        <v>-13729.008032314483</v>
      </c>
      <c r="F104" s="13">
        <v>0.21848952626493529</v>
      </c>
      <c r="G104" s="11">
        <v>9835.9689254037512</v>
      </c>
      <c r="K104" s="12">
        <v>0.65614689318218522</v>
      </c>
      <c r="L104" s="12">
        <v>1.1403327649566291</v>
      </c>
      <c r="M104" s="12">
        <v>-2.7287110756368915E-2</v>
      </c>
      <c r="N104" s="10">
        <v>405512.86989486276</v>
      </c>
      <c r="O104" s="10"/>
      <c r="P104" s="10"/>
      <c r="Q104" s="10"/>
      <c r="R104" s="12">
        <v>0.42499999999999999</v>
      </c>
      <c r="S104" s="12">
        <v>0.52500000000000002</v>
      </c>
      <c r="U104" s="11">
        <v>500920.8848590338</v>
      </c>
      <c r="V104" s="11">
        <v>344066.87040822522</v>
      </c>
      <c r="Z104" s="11">
        <v>45538.262259912161</v>
      </c>
      <c r="AB104" s="11">
        <v>100000</v>
      </c>
      <c r="AC104">
        <v>240000</v>
      </c>
      <c r="AD104">
        <v>100000</v>
      </c>
      <c r="AE104">
        <v>40000</v>
      </c>
      <c r="AF104" s="11">
        <v>480000</v>
      </c>
      <c r="AG104" s="11">
        <v>299640.26671815111</v>
      </c>
      <c r="AH104" s="11">
        <v>180359.73328184889</v>
      </c>
      <c r="AI104" s="11">
        <v>54510.821260225188</v>
      </c>
    </row>
    <row r="105" spans="1:35" x14ac:dyDescent="0.25">
      <c r="A105">
        <v>1599</v>
      </c>
      <c r="B105">
        <v>400000</v>
      </c>
      <c r="C105" s="11">
        <v>500000</v>
      </c>
      <c r="D105" s="11">
        <v>70740.845626032795</v>
      </c>
      <c r="E105" s="11">
        <v>-3893.8447399148235</v>
      </c>
      <c r="F105" s="13">
        <v>0.21767311170626596</v>
      </c>
      <c r="G105" s="11">
        <v>19309.580334988226</v>
      </c>
      <c r="K105" s="12">
        <v>0.66740626652925927</v>
      </c>
      <c r="L105" s="12">
        <v>1.1421206954151173</v>
      </c>
      <c r="M105" s="12">
        <v>-1.4988282505789902E-2</v>
      </c>
      <c r="N105" s="10">
        <v>413615.94756632991</v>
      </c>
      <c r="O105" s="10"/>
      <c r="P105" s="10"/>
      <c r="Q105" s="10"/>
      <c r="R105" s="12">
        <v>0.42352789779420347</v>
      </c>
      <c r="S105" s="12">
        <v>0.52506455963032006</v>
      </c>
      <c r="U105" s="11">
        <v>500519.70398053504</v>
      </c>
      <c r="V105" s="11">
        <v>342875.10194029711</v>
      </c>
      <c r="Z105" s="11">
        <v>45501.791270957729</v>
      </c>
      <c r="AB105" s="11">
        <v>100000</v>
      </c>
      <c r="AC105">
        <v>240000</v>
      </c>
      <c r="AD105">
        <v>100000</v>
      </c>
      <c r="AE105">
        <v>40000</v>
      </c>
      <c r="AF105" s="11">
        <v>480000</v>
      </c>
      <c r="AG105" s="11">
        <v>306975.66583672148</v>
      </c>
      <c r="AH105" s="11">
        <v>173024.33416327852</v>
      </c>
      <c r="AI105" s="11">
        <v>44606.180621583102</v>
      </c>
    </row>
    <row r="106" spans="1:35" x14ac:dyDescent="0.25">
      <c r="A106">
        <v>1600</v>
      </c>
      <c r="B106">
        <v>400000</v>
      </c>
      <c r="C106" s="11">
        <v>500000</v>
      </c>
      <c r="D106" s="11">
        <v>81161.038288939162</v>
      </c>
      <c r="E106" s="11">
        <v>6134.2563581625618</v>
      </c>
      <c r="F106" s="13">
        <v>0.22030545400787641</v>
      </c>
      <c r="G106" s="11">
        <v>30077.340246610467</v>
      </c>
      <c r="K106" s="12">
        <v>0.67866563987633344</v>
      </c>
      <c r="L106" s="12">
        <v>1.1439086258736055</v>
      </c>
      <c r="M106" s="12">
        <v>-2.6894542552109019E-3</v>
      </c>
      <c r="N106" s="10">
        <v>421719.02523779712</v>
      </c>
      <c r="O106" s="10"/>
      <c r="P106" s="10"/>
      <c r="Q106" s="10"/>
      <c r="R106" s="12">
        <v>0.42066573942890301</v>
      </c>
      <c r="S106" s="12">
        <v>0.52524497898339872</v>
      </c>
      <c r="U106" s="11">
        <v>499778.59005145833</v>
      </c>
      <c r="V106" s="11">
        <v>340557.98694885796</v>
      </c>
      <c r="W106" s="14"/>
      <c r="Z106" s="11">
        <v>45434.4172774053</v>
      </c>
      <c r="AB106" s="11">
        <v>100000</v>
      </c>
      <c r="AC106">
        <v>240000</v>
      </c>
      <c r="AD106">
        <v>100000</v>
      </c>
      <c r="AE106">
        <v>40000</v>
      </c>
      <c r="AF106" s="11">
        <v>480000</v>
      </c>
      <c r="AG106" s="11">
        <v>314407.99725427054</v>
      </c>
      <c r="AH106" s="11">
        <v>165592.00274572946</v>
      </c>
      <c r="AI106" s="11">
        <v>34588.670556449826</v>
      </c>
    </row>
    <row r="107" spans="1:35" x14ac:dyDescent="0.25">
      <c r="A107">
        <v>1601</v>
      </c>
      <c r="B107">
        <v>400000</v>
      </c>
      <c r="C107" s="11">
        <v>500000</v>
      </c>
      <c r="D107" s="11">
        <v>92325.607927855803</v>
      </c>
      <c r="E107" s="11">
        <v>17010.341715440558</v>
      </c>
      <c r="F107" s="13">
        <v>0.22315866188940453</v>
      </c>
      <c r="G107" s="11">
        <v>41701.133680644532</v>
      </c>
      <c r="K107" s="12">
        <v>0.68992501322340749</v>
      </c>
      <c r="L107" s="12">
        <v>1.145696556332094</v>
      </c>
      <c r="M107" s="12">
        <v>9.6093739953680979E-3</v>
      </c>
      <c r="N107" s="10">
        <v>429822.10290926427</v>
      </c>
      <c r="O107" s="10"/>
      <c r="P107" s="10"/>
      <c r="Q107" s="10"/>
      <c r="R107" s="12">
        <v>0.41688410801341025</v>
      </c>
      <c r="S107" s="12">
        <v>0.52558924326720402</v>
      </c>
      <c r="U107" s="11">
        <v>498874.3980763281</v>
      </c>
      <c r="V107" s="11">
        <v>337496.49498140847</v>
      </c>
      <c r="Z107" s="11">
        <v>45352.218006938921</v>
      </c>
      <c r="AB107" s="11">
        <v>100000</v>
      </c>
      <c r="AC107">
        <v>240000</v>
      </c>
      <c r="AD107">
        <v>100000</v>
      </c>
      <c r="AE107">
        <v>40000</v>
      </c>
      <c r="AF107" s="11">
        <v>480000</v>
      </c>
      <c r="AG107" s="11">
        <v>331865.27009587467</v>
      </c>
      <c r="AH107" s="11">
        <v>148134.72990412533</v>
      </c>
      <c r="AI107" s="11">
        <v>10410.642814337072</v>
      </c>
    </row>
    <row r="108" spans="1:35" x14ac:dyDescent="0.25">
      <c r="A108">
        <v>1602</v>
      </c>
      <c r="B108">
        <v>400000</v>
      </c>
      <c r="C108" s="11">
        <v>500000</v>
      </c>
      <c r="D108" s="11">
        <v>103853.58499528159</v>
      </c>
      <c r="E108" s="11">
        <v>29426.312912730747</v>
      </c>
      <c r="F108" s="13">
        <v>0.22278838747759869</v>
      </c>
      <c r="G108" s="11">
        <v>53742.845657464117</v>
      </c>
      <c r="K108" s="12">
        <v>0.70118438657048165</v>
      </c>
      <c r="L108" s="12">
        <v>1.1474844867905822</v>
      </c>
      <c r="M108" s="12">
        <v>2.1908202245947098E-2</v>
      </c>
      <c r="N108" s="10">
        <v>437925.18058073142</v>
      </c>
      <c r="O108" s="10"/>
      <c r="P108" s="10"/>
      <c r="Q108" s="10"/>
      <c r="R108" s="12">
        <v>0.41265358665703727</v>
      </c>
      <c r="S108" s="12">
        <v>0.52614533768970451</v>
      </c>
      <c r="U108" s="11">
        <v>497983.98305966967</v>
      </c>
      <c r="V108" s="11">
        <v>334071.59558544983</v>
      </c>
      <c r="W108" s="14"/>
      <c r="Z108" s="11">
        <v>45271.271187242703</v>
      </c>
      <c r="AB108" s="11">
        <v>100000</v>
      </c>
      <c r="AC108">
        <v>240000</v>
      </c>
      <c r="AD108">
        <v>100000</v>
      </c>
      <c r="AE108">
        <v>40000</v>
      </c>
      <c r="AF108" s="11">
        <v>480000</v>
      </c>
      <c r="AG108" s="11">
        <v>349713.20690255309</v>
      </c>
      <c r="AH108" s="11">
        <v>130286.79309744691</v>
      </c>
      <c r="AI108" s="11">
        <v>-14261.332422275329</v>
      </c>
    </row>
    <row r="109" spans="1:35" x14ac:dyDescent="0.25">
      <c r="A109">
        <v>1603</v>
      </c>
      <c r="B109">
        <v>400000</v>
      </c>
      <c r="C109" s="11">
        <v>500000</v>
      </c>
      <c r="D109" s="11">
        <v>115363.99994371529</v>
      </c>
      <c r="E109" s="11">
        <v>39425.279961464759</v>
      </c>
      <c r="F109" s="13">
        <v>0.22965505969927288</v>
      </c>
      <c r="G109" s="11">
        <v>65764.361197442777</v>
      </c>
      <c r="K109" s="12">
        <v>0.71244375991755571</v>
      </c>
      <c r="L109" s="12">
        <v>1.1492724172490705</v>
      </c>
      <c r="M109" s="12">
        <v>3.4207030496526097E-2</v>
      </c>
      <c r="N109" s="10">
        <v>446028.25825219863</v>
      </c>
      <c r="O109" s="10"/>
      <c r="P109" s="10"/>
      <c r="Q109" s="10"/>
      <c r="R109" s="12">
        <v>0.40844475846909634</v>
      </c>
      <c r="S109" s="12">
        <v>0.52696124745886819</v>
      </c>
      <c r="U109" s="11">
        <v>497284.20000600768</v>
      </c>
      <c r="V109" s="11">
        <v>330664.25830848335</v>
      </c>
      <c r="Z109" s="11">
        <v>45207.654546000696</v>
      </c>
      <c r="AB109" s="11">
        <v>100000</v>
      </c>
      <c r="AC109">
        <v>240000</v>
      </c>
      <c r="AD109">
        <v>100000</v>
      </c>
      <c r="AE109">
        <v>40000</v>
      </c>
      <c r="AF109" s="11">
        <v>480000</v>
      </c>
      <c r="AG109" s="11">
        <v>367953.54454264068</v>
      </c>
      <c r="AH109" s="11">
        <v>112046.45545735932</v>
      </c>
      <c r="AI109" s="11">
        <v>-39427.753712694743</v>
      </c>
    </row>
    <row r="110" spans="1:35" x14ac:dyDescent="0.25">
      <c r="A110">
        <v>1604</v>
      </c>
      <c r="B110">
        <v>400000</v>
      </c>
      <c r="C110" s="11">
        <v>500000</v>
      </c>
      <c r="D110" s="11">
        <v>126475.88322565577</v>
      </c>
      <c r="E110" s="11">
        <v>50231.103733258999</v>
      </c>
      <c r="F110" s="13">
        <v>0.23269803345122181</v>
      </c>
      <c r="G110" s="11">
        <v>77327.565320954251</v>
      </c>
      <c r="K110" s="12">
        <v>0.72370313326462987</v>
      </c>
      <c r="L110" s="12">
        <v>1.1510603477075587</v>
      </c>
      <c r="M110" s="12">
        <v>4.6505858747105111E-2</v>
      </c>
      <c r="N110" s="10">
        <v>454131.33592366584</v>
      </c>
      <c r="O110" s="10"/>
      <c r="P110" s="10"/>
      <c r="Q110" s="10"/>
      <c r="R110" s="12">
        <v>0.40472820655889946</v>
      </c>
      <c r="S110" s="12">
        <v>0.5280849577826634</v>
      </c>
      <c r="U110" s="11">
        <v>496951.90391986707</v>
      </c>
      <c r="V110" s="11">
        <v>327655.45269801008</v>
      </c>
      <c r="W110" s="14"/>
      <c r="Z110" s="11">
        <v>45177.445810897007</v>
      </c>
      <c r="AB110" s="11">
        <v>100000</v>
      </c>
      <c r="AC110">
        <v>240000</v>
      </c>
      <c r="AD110">
        <v>100000</v>
      </c>
      <c r="AE110">
        <v>40000</v>
      </c>
      <c r="AF110" s="11">
        <v>480000</v>
      </c>
      <c r="AG110" s="11">
        <v>386588.02678970678</v>
      </c>
      <c r="AH110" s="11">
        <v>93411.973210293218</v>
      </c>
      <c r="AI110" s="11">
        <v>-65089.117773486912</v>
      </c>
    </row>
    <row r="111" spans="1:35" x14ac:dyDescent="0.25">
      <c r="A111">
        <v>1605</v>
      </c>
      <c r="B111">
        <v>400000</v>
      </c>
      <c r="C111" s="11">
        <v>500000</v>
      </c>
      <c r="D111" s="11">
        <v>136808.2652936019</v>
      </c>
      <c r="E111" s="11">
        <v>57954.322730119689</v>
      </c>
      <c r="F111" s="13">
        <v>0.24230979279027778</v>
      </c>
      <c r="G111" s="11">
        <v>87994.343048372248</v>
      </c>
      <c r="K111" s="12">
        <v>0.73496250661170393</v>
      </c>
      <c r="L111" s="12">
        <v>1.152848278166047</v>
      </c>
      <c r="M111" s="12">
        <v>5.8804686997684111E-2</v>
      </c>
      <c r="N111" s="10">
        <v>462234.413595133</v>
      </c>
      <c r="O111" s="10"/>
      <c r="P111" s="10"/>
      <c r="Q111" s="10"/>
      <c r="R111" s="12">
        <v>0.40197451403575873</v>
      </c>
      <c r="S111" s="12">
        <v>0.52956445386905848</v>
      </c>
      <c r="U111" s="11">
        <v>497163.94980577281</v>
      </c>
      <c r="V111" s="11">
        <v>325426.1483015311</v>
      </c>
      <c r="Z111" s="11">
        <v>45196.722709615708</v>
      </c>
      <c r="AB111" s="11">
        <v>100000</v>
      </c>
      <c r="AC111">
        <v>240000</v>
      </c>
      <c r="AD111">
        <v>100000</v>
      </c>
      <c r="AE111">
        <v>40000</v>
      </c>
      <c r="AF111" s="11">
        <v>480000</v>
      </c>
      <c r="AG111" s="11">
        <v>405618.40434835438</v>
      </c>
      <c r="AH111" s="11">
        <v>74381.595651645621</v>
      </c>
      <c r="AI111" s="11">
        <v>-91245.919457266136</v>
      </c>
    </row>
    <row r="112" spans="1:35" x14ac:dyDescent="0.25">
      <c r="A112">
        <v>1606</v>
      </c>
      <c r="B112">
        <v>492187.5</v>
      </c>
      <c r="C112" s="11">
        <v>615234.375</v>
      </c>
      <c r="D112" s="11">
        <v>179624.04542584566</v>
      </c>
      <c r="E112" s="11">
        <v>85468.221456410276</v>
      </c>
      <c r="F112" s="13">
        <v>0.23591355960304827</v>
      </c>
      <c r="G112" s="11">
        <v>119757.3144961801</v>
      </c>
      <c r="K112" s="12">
        <v>0.74622187995877809</v>
      </c>
      <c r="L112" s="12">
        <v>1.1546362086245352</v>
      </c>
      <c r="M112" s="12">
        <v>7.1103515248263111E-2</v>
      </c>
      <c r="N112" s="10">
        <v>578735.58495694934</v>
      </c>
      <c r="O112" s="10"/>
      <c r="P112" s="10"/>
      <c r="Q112" s="10"/>
      <c r="R112" s="12">
        <v>0.4006542640089864</v>
      </c>
      <c r="S112" s="12">
        <v>0.53144772092602144</v>
      </c>
      <c r="U112" s="11">
        <v>612893.03004101035</v>
      </c>
      <c r="V112" s="11">
        <v>399111.53953110368</v>
      </c>
      <c r="W112" s="14"/>
      <c r="Z112" s="11">
        <v>55717.548185546395</v>
      </c>
      <c r="AB112" s="11">
        <v>123046.875</v>
      </c>
      <c r="AC112">
        <v>295312.5</v>
      </c>
      <c r="AD112">
        <v>123046.875</v>
      </c>
      <c r="AE112">
        <v>49218.75</v>
      </c>
      <c r="AF112" s="11">
        <v>590625</v>
      </c>
      <c r="AG112" s="11">
        <v>425046.43488011271</v>
      </c>
      <c r="AH112" s="11">
        <v>165578.56511988729</v>
      </c>
      <c r="AI112" s="11">
        <v>-7273.6517313589284</v>
      </c>
    </row>
    <row r="113" spans="1:35" x14ac:dyDescent="0.25">
      <c r="A113">
        <v>1607</v>
      </c>
      <c r="B113">
        <v>584375</v>
      </c>
      <c r="C113" s="11">
        <v>730468.75</v>
      </c>
      <c r="D113" s="11">
        <v>224415.55547448178</v>
      </c>
      <c r="E113" s="11">
        <v>116973.81586365754</v>
      </c>
      <c r="F113" s="13">
        <v>0.22640466317869978</v>
      </c>
      <c r="G113" s="11">
        <v>153232.12349321038</v>
      </c>
      <c r="K113" s="12">
        <v>0.75748125330585214</v>
      </c>
      <c r="L113" s="12">
        <v>1.1564241390830237</v>
      </c>
      <c r="M113" s="12">
        <v>8.3402343498842124E-2</v>
      </c>
      <c r="N113" s="10">
        <v>698971.76868295774</v>
      </c>
      <c r="O113" s="10"/>
      <c r="P113" s="10"/>
      <c r="Q113" s="10"/>
      <c r="R113" s="12">
        <v>0.4012380395878945</v>
      </c>
      <c r="S113" s="12">
        <v>0.53378274416152038</v>
      </c>
      <c r="U113" s="11">
        <v>730364.27472430293</v>
      </c>
      <c r="V113" s="11">
        <v>474556.21320847597</v>
      </c>
      <c r="Z113" s="11">
        <v>66396.752247663899</v>
      </c>
      <c r="AB113" s="11">
        <v>146093.75</v>
      </c>
      <c r="AC113">
        <v>350625</v>
      </c>
      <c r="AD113">
        <v>146093.75</v>
      </c>
      <c r="AE113">
        <v>58437.5</v>
      </c>
      <c r="AF113" s="11">
        <v>701250</v>
      </c>
      <c r="AG113" s="11">
        <v>444873.88302942243</v>
      </c>
      <c r="AH113" s="11">
        <v>256376.11697057757</v>
      </c>
      <c r="AI113" s="11">
        <v>76202.194343661075</v>
      </c>
    </row>
    <row r="114" spans="1:35" x14ac:dyDescent="0.25">
      <c r="A114">
        <v>1608</v>
      </c>
      <c r="B114">
        <v>676562.5</v>
      </c>
      <c r="C114" s="11">
        <v>845703.125</v>
      </c>
      <c r="D114" s="11">
        <v>269472.65970216482</v>
      </c>
      <c r="E114" s="11">
        <v>145872.71348603567</v>
      </c>
      <c r="F114" s="13">
        <v>0.22331811676920063</v>
      </c>
      <c r="G114" s="11">
        <v>186452.11394151585</v>
      </c>
      <c r="K114" s="12">
        <v>0.76874062665292631</v>
      </c>
      <c r="L114" s="12">
        <v>1.1582120695415119</v>
      </c>
      <c r="M114" s="12">
        <v>9.5701171749421124E-2</v>
      </c>
      <c r="N114" s="10">
        <v>822942.96477315796</v>
      </c>
      <c r="O114" s="10"/>
      <c r="P114" s="10"/>
      <c r="Q114" s="10"/>
      <c r="R114" s="12">
        <v>0.40419642388179505</v>
      </c>
      <c r="S114" s="12">
        <v>0.53661750878352399</v>
      </c>
      <c r="U114" s="11">
        <v>850497.73626820301</v>
      </c>
      <c r="V114" s="11">
        <v>553470.30507099314</v>
      </c>
      <c r="W114" s="14"/>
      <c r="Z114" s="11">
        <v>77317.976024382093</v>
      </c>
      <c r="AB114" s="11">
        <v>169140.625</v>
      </c>
      <c r="AC114">
        <v>405937.5</v>
      </c>
      <c r="AD114">
        <v>169140.625</v>
      </c>
      <c r="AE114">
        <v>67656.25</v>
      </c>
      <c r="AF114" s="11">
        <v>811875</v>
      </c>
      <c r="AG114" s="11">
        <v>465102.52044971415</v>
      </c>
      <c r="AH114" s="11">
        <v>346772.47955028585</v>
      </c>
      <c r="AI114" s="11">
        <v>159181.12963556737</v>
      </c>
    </row>
    <row r="115" spans="1:35" x14ac:dyDescent="0.25">
      <c r="A115">
        <v>1609</v>
      </c>
      <c r="B115">
        <v>768750</v>
      </c>
      <c r="C115" s="11">
        <v>960937.5</v>
      </c>
      <c r="D115" s="11">
        <v>312734.01606994693</v>
      </c>
      <c r="E115" s="11">
        <v>172464.07882959626</v>
      </c>
      <c r="F115" s="13">
        <v>0.21988807706868091</v>
      </c>
      <c r="G115" s="11">
        <v>217046.74249630648</v>
      </c>
      <c r="H115" s="14">
        <v>0.78</v>
      </c>
      <c r="I115" s="14">
        <v>1.1599999999999999</v>
      </c>
      <c r="J115" s="14">
        <v>0.108</v>
      </c>
      <c r="K115" s="12">
        <v>0.78</v>
      </c>
      <c r="L115" s="12">
        <v>1.1599999999999999</v>
      </c>
      <c r="M115" s="12">
        <v>0.10800000000000012</v>
      </c>
      <c r="N115" s="10">
        <v>950649.17322754976</v>
      </c>
      <c r="O115" s="15">
        <v>0.41</v>
      </c>
      <c r="P115" s="15">
        <v>0.54</v>
      </c>
      <c r="Q115" s="10"/>
      <c r="R115" s="12">
        <v>0.41</v>
      </c>
      <c r="S115" s="12">
        <v>0.54</v>
      </c>
      <c r="U115" s="11">
        <v>974376.50529255811</v>
      </c>
      <c r="V115" s="11">
        <v>637915.15715760284</v>
      </c>
      <c r="Z115" s="11">
        <v>88579.682299323467</v>
      </c>
      <c r="AB115" s="11">
        <v>192187.5</v>
      </c>
      <c r="AC115">
        <v>461250</v>
      </c>
      <c r="AD115">
        <v>192187.5</v>
      </c>
      <c r="AE115">
        <v>76875</v>
      </c>
      <c r="AF115" s="11">
        <v>922500</v>
      </c>
      <c r="AG115" s="11">
        <v>485734.1258295803</v>
      </c>
      <c r="AH115" s="11">
        <v>436765.8741704197</v>
      </c>
      <c r="AI115" s="11">
        <v>241662.66696220444</v>
      </c>
    </row>
    <row r="116" spans="1:35" x14ac:dyDescent="0.25">
      <c r="A116">
        <v>1610</v>
      </c>
      <c r="B116">
        <v>860937.5</v>
      </c>
      <c r="C116" s="11">
        <v>1291406.25</v>
      </c>
      <c r="D116" s="11">
        <v>352034.23194115562</v>
      </c>
      <c r="E116" s="11">
        <v>191093.18598819981</v>
      </c>
      <c r="F116" s="13">
        <v>0.22054824499818984</v>
      </c>
      <c r="G116" s="11">
        <v>242574.47680621222</v>
      </c>
      <c r="K116" s="12">
        <v>0.79102677961360368</v>
      </c>
      <c r="L116" s="12">
        <v>1.1615500511539036</v>
      </c>
      <c r="M116" s="12">
        <v>0.12020737485179428</v>
      </c>
      <c r="N116" s="10">
        <v>1081765.9328407785</v>
      </c>
      <c r="O116" s="10"/>
      <c r="P116" s="10"/>
      <c r="Q116" s="10"/>
      <c r="R116" s="12">
        <v>0.41879130145625509</v>
      </c>
      <c r="S116" s="12">
        <v>0.5438536963983035</v>
      </c>
      <c r="U116" s="11">
        <v>1323411.0285047921</v>
      </c>
      <c r="V116" s="11">
        <v>729731.70089962287</v>
      </c>
      <c r="W116" s="14"/>
      <c r="Z116" s="11">
        <v>120310.09350043564</v>
      </c>
      <c r="AB116" s="11">
        <v>430468.75</v>
      </c>
      <c r="AC116">
        <v>516562.5</v>
      </c>
      <c r="AD116">
        <v>215234.375</v>
      </c>
      <c r="AE116">
        <v>86093.75</v>
      </c>
      <c r="AF116" s="11">
        <v>1248359.375</v>
      </c>
      <c r="AG116" s="11">
        <v>506770.48491904169</v>
      </c>
      <c r="AH116" s="11">
        <v>741588.89008095837</v>
      </c>
      <c r="AI116" s="11">
        <v>538880.69611334126</v>
      </c>
    </row>
    <row r="117" spans="1:35" x14ac:dyDescent="0.25">
      <c r="A117">
        <v>1611</v>
      </c>
      <c r="B117">
        <v>953125</v>
      </c>
      <c r="C117" s="11">
        <v>1429687.5</v>
      </c>
      <c r="D117" s="11">
        <v>386057.0507796614</v>
      </c>
      <c r="E117" s="11">
        <v>202242.8101550735</v>
      </c>
      <c r="F117" s="13">
        <v>0.22190784021252802</v>
      </c>
      <c r="G117" s="11">
        <v>261806.65896258323</v>
      </c>
      <c r="K117" s="12">
        <v>0.80065799682638272</v>
      </c>
      <c r="L117" s="12">
        <v>1.1616728264802978</v>
      </c>
      <c r="M117" s="12">
        <v>0.13186602931087923</v>
      </c>
      <c r="N117" s="10">
        <v>1214392.9962268493</v>
      </c>
      <c r="O117" s="10"/>
      <c r="P117" s="10"/>
      <c r="Q117" s="10"/>
      <c r="R117" s="12">
        <v>0.42940066338203386</v>
      </c>
      <c r="S117" s="12">
        <v>0.54760405008333324</v>
      </c>
      <c r="U117" s="11">
        <v>1481925.3456377608</v>
      </c>
      <c r="V117" s="11">
        <v>828335.94544718787</v>
      </c>
      <c r="Z117" s="11">
        <v>134720.48596706917</v>
      </c>
      <c r="AB117" s="11">
        <v>476562.5</v>
      </c>
      <c r="AC117">
        <v>571875</v>
      </c>
      <c r="AD117">
        <v>238281.25</v>
      </c>
      <c r="AE117">
        <v>95312.5</v>
      </c>
      <c r="AF117" s="11">
        <v>1382031.25</v>
      </c>
      <c r="AG117" s="11">
        <v>528213.39055590727</v>
      </c>
      <c r="AH117" s="11">
        <v>853817.85944409273</v>
      </c>
      <c r="AI117" s="11">
        <v>643412.85887265578</v>
      </c>
    </row>
    <row r="118" spans="1:35" x14ac:dyDescent="0.25">
      <c r="A118">
        <v>1612</v>
      </c>
      <c r="B118">
        <v>1045312.5</v>
      </c>
      <c r="C118" s="11">
        <v>1567968.75</v>
      </c>
      <c r="D118" s="11">
        <v>413964.39431483147</v>
      </c>
      <c r="E118" s="11">
        <v>206130.95323018642</v>
      </c>
      <c r="F118" s="13">
        <v>0.2230985292079434</v>
      </c>
      <c r="G118" s="11">
        <v>274227.85605357087</v>
      </c>
      <c r="K118" s="12">
        <v>0.80749808923751254</v>
      </c>
      <c r="L118" s="12">
        <v>1.1589410501516728</v>
      </c>
      <c r="M118" s="12">
        <v>0.14242724298454587</v>
      </c>
      <c r="N118" s="10">
        <v>1345541.3160565691</v>
      </c>
      <c r="O118" s="10"/>
      <c r="P118" s="10"/>
      <c r="Q118" s="10"/>
      <c r="R118" s="12">
        <v>0.44033037131324376</v>
      </c>
      <c r="S118" s="12">
        <v>0.55055200653937497</v>
      </c>
      <c r="U118" s="11">
        <v>1642213.1952093621</v>
      </c>
      <c r="V118" s="11">
        <v>931576.92174173763</v>
      </c>
      <c r="W118" s="14"/>
      <c r="Z118" s="11">
        <v>149292.10865539656</v>
      </c>
      <c r="AB118" s="11">
        <v>522656.25</v>
      </c>
      <c r="AC118">
        <v>627187.5</v>
      </c>
      <c r="AD118">
        <v>261328.125</v>
      </c>
      <c r="AE118">
        <v>104531.25</v>
      </c>
      <c r="AF118" s="11">
        <v>1515703.125</v>
      </c>
      <c r="AG118" s="11">
        <v>550064.64269222983</v>
      </c>
      <c r="AH118" s="11">
        <v>965638.48230777017</v>
      </c>
      <c r="AI118" s="11">
        <v>747446.17403985176</v>
      </c>
    </row>
    <row r="119" spans="1:35" x14ac:dyDescent="0.25">
      <c r="A119">
        <v>1613</v>
      </c>
      <c r="B119">
        <v>1137500</v>
      </c>
      <c r="C119" s="11">
        <v>1706250</v>
      </c>
      <c r="D119" s="11">
        <v>435202.13673430972</v>
      </c>
      <c r="E119" s="11">
        <v>203026.62829201188</v>
      </c>
      <c r="F119" s="13">
        <v>0.22406743035692267</v>
      </c>
      <c r="G119" s="11">
        <v>279774.25410599133</v>
      </c>
      <c r="K119" s="12">
        <v>0.81015149444616907</v>
      </c>
      <c r="L119" s="12">
        <v>1.1519274463405205</v>
      </c>
      <c r="M119" s="12">
        <v>0.15134229548008502</v>
      </c>
      <c r="N119" s="10">
        <v>1471388.0209230988</v>
      </c>
      <c r="O119" s="10"/>
      <c r="P119" s="10"/>
      <c r="Q119" s="10"/>
      <c r="R119" s="12">
        <v>0.45008271078579237</v>
      </c>
      <c r="S119" s="12">
        <v>0.55199851125071464</v>
      </c>
      <c r="U119" s="11">
        <v>1800642.2098373773</v>
      </c>
      <c r="V119" s="11">
        <v>1036185.8841887891</v>
      </c>
      <c r="Z119" s="11">
        <v>163694.74634885247</v>
      </c>
      <c r="AB119" s="11">
        <v>568750</v>
      </c>
      <c r="AC119">
        <v>682500</v>
      </c>
      <c r="AD119">
        <v>284375</v>
      </c>
      <c r="AE119">
        <v>113750</v>
      </c>
      <c r="AF119" s="11">
        <v>1649375</v>
      </c>
      <c r="AG119" s="11">
        <v>572326.04842085531</v>
      </c>
      <c r="AH119" s="11">
        <v>1077048.9515791447</v>
      </c>
      <c r="AI119" s="11">
        <v>850980.16245290625</v>
      </c>
    </row>
    <row r="120" spans="1:35" x14ac:dyDescent="0.25">
      <c r="A120">
        <v>1614</v>
      </c>
      <c r="B120">
        <v>1229687.5</v>
      </c>
      <c r="C120" s="11">
        <v>1844531.25</v>
      </c>
      <c r="D120" s="11">
        <v>449500.10468401527</v>
      </c>
      <c r="E120" s="11">
        <v>193052.18025744637</v>
      </c>
      <c r="F120" s="13">
        <v>0.22539397421473317</v>
      </c>
      <c r="G120" s="11">
        <v>278833.65808532503</v>
      </c>
      <c r="K120" s="12">
        <v>0.80722265005152771</v>
      </c>
      <c r="L120" s="12">
        <v>1.1392047392193307</v>
      </c>
      <c r="M120" s="12">
        <v>0.15806246640478749</v>
      </c>
      <c r="N120" s="10">
        <v>1587276.4153419505</v>
      </c>
      <c r="O120" s="10"/>
      <c r="P120" s="10"/>
      <c r="Q120" s="10"/>
      <c r="R120" s="12">
        <v>0.45715996733558661</v>
      </c>
      <c r="S120" s="12">
        <v>0.55124450970163763</v>
      </c>
      <c r="U120" s="11">
        <v>1952529.2172979815</v>
      </c>
      <c r="V120" s="11">
        <v>1137776.3106579352</v>
      </c>
      <c r="Z120" s="11">
        <v>177502.6561179983</v>
      </c>
      <c r="AB120" s="11">
        <v>614843.75</v>
      </c>
      <c r="AC120">
        <v>737812.5</v>
      </c>
      <c r="AD120">
        <v>307421.875</v>
      </c>
      <c r="AE120">
        <v>122968.75</v>
      </c>
      <c r="AF120" s="11">
        <v>1783046.875</v>
      </c>
      <c r="AG120" s="11">
        <v>594999.42200206826</v>
      </c>
      <c r="AH120" s="11">
        <v>1188047.4529979317</v>
      </c>
      <c r="AI120" s="11">
        <v>954014.3470104509</v>
      </c>
    </row>
    <row r="121" spans="1:35" x14ac:dyDescent="0.25">
      <c r="A121">
        <v>1615</v>
      </c>
      <c r="B121">
        <v>1321875</v>
      </c>
      <c r="C121" s="11">
        <v>1982812.5</v>
      </c>
      <c r="D121" s="11">
        <v>456872.07726814318</v>
      </c>
      <c r="E121" s="11">
        <v>177506.43907538225</v>
      </c>
      <c r="F121" s="13">
        <v>0.22697081053838533</v>
      </c>
      <c r="G121" s="11">
        <v>272245.49189571629</v>
      </c>
      <c r="K121" s="12">
        <v>0.79731599365276395</v>
      </c>
      <c r="L121" s="12">
        <v>1.1193456529605941</v>
      </c>
      <c r="M121" s="12">
        <v>0.16203903536594411</v>
      </c>
      <c r="N121" s="10">
        <v>1687715.9797509895</v>
      </c>
      <c r="O121" s="10"/>
      <c r="P121" s="10"/>
      <c r="Q121" s="10"/>
      <c r="R121" s="12">
        <v>0.46006442649853385</v>
      </c>
      <c r="S121" s="12">
        <v>0.54759094737642933</v>
      </c>
      <c r="U121" s="11">
        <v>2092140.2405257453</v>
      </c>
      <c r="V121" s="11">
        <v>1230843.9024828463</v>
      </c>
      <c r="Z121" s="11">
        <v>190194.5673205223</v>
      </c>
      <c r="AB121" s="11">
        <v>660937.5</v>
      </c>
      <c r="AC121">
        <v>793125</v>
      </c>
      <c r="AD121">
        <v>330468.75</v>
      </c>
      <c r="AE121">
        <v>132187.5</v>
      </c>
      <c r="AF121" s="11">
        <v>1916718.75</v>
      </c>
      <c r="AG121" s="11">
        <v>618086.58489033277</v>
      </c>
      <c r="AH121" s="11">
        <v>1298632.1651096672</v>
      </c>
      <c r="AI121" s="11">
        <v>1056548.2526942862</v>
      </c>
    </row>
    <row r="122" spans="1:35" x14ac:dyDescent="0.25">
      <c r="A122">
        <v>1616</v>
      </c>
      <c r="B122">
        <v>1414062.5</v>
      </c>
      <c r="C122" s="11">
        <v>2121093.75</v>
      </c>
      <c r="D122" s="11">
        <v>457615.78604916553</v>
      </c>
      <c r="E122" s="11">
        <v>158714.75877850346</v>
      </c>
      <c r="F122" s="13">
        <v>0.22838375522377768</v>
      </c>
      <c r="G122" s="11">
        <v>261300.79837997517</v>
      </c>
      <c r="K122" s="12">
        <v>0.77903596284905341</v>
      </c>
      <c r="L122" s="12">
        <v>1.0909229117368018</v>
      </c>
      <c r="M122" s="12">
        <v>0.16272328197084573</v>
      </c>
      <c r="N122" s="10">
        <v>1766382.3705104347</v>
      </c>
      <c r="O122" s="10"/>
      <c r="P122" s="10"/>
      <c r="Q122" s="10"/>
      <c r="R122" s="12">
        <v>0.45729837381054128</v>
      </c>
      <c r="S122" s="12">
        <v>0.54033876975937567</v>
      </c>
      <c r="U122" s="11">
        <v>2212690.4976136363</v>
      </c>
      <c r="V122" s="11">
        <v>1308766.5844612692</v>
      </c>
      <c r="Z122" s="11">
        <v>201153.68160123966</v>
      </c>
      <c r="AB122" s="11">
        <v>707031.25</v>
      </c>
      <c r="AC122">
        <v>848437.5</v>
      </c>
      <c r="AD122">
        <v>353515.625</v>
      </c>
      <c r="AE122">
        <v>141406.25</v>
      </c>
      <c r="AF122" s="11">
        <v>2050390.625</v>
      </c>
      <c r="AG122" s="11">
        <v>641589.36576112872</v>
      </c>
      <c r="AH122" s="11">
        <v>1408801.2592388713</v>
      </c>
      <c r="AI122" s="11">
        <v>1158581.4065920303</v>
      </c>
    </row>
    <row r="123" spans="1:35" x14ac:dyDescent="0.25">
      <c r="A123">
        <v>1617</v>
      </c>
      <c r="B123">
        <v>1506250</v>
      </c>
      <c r="C123" s="11">
        <v>2259375</v>
      </c>
      <c r="D123" s="11">
        <v>452312.91504782811</v>
      </c>
      <c r="E123" s="11">
        <v>138743.78096861433</v>
      </c>
      <c r="F123" s="13">
        <v>0.22992234808063336</v>
      </c>
      <c r="G123" s="11">
        <v>247742.2393195738</v>
      </c>
      <c r="K123" s="12">
        <v>0.75098699523957146</v>
      </c>
      <c r="L123" s="12">
        <v>1.0525092397204443</v>
      </c>
      <c r="M123" s="12">
        <v>0.15956648582678321</v>
      </c>
      <c r="N123" s="10">
        <v>1816117.4199028569</v>
      </c>
      <c r="O123" s="10"/>
      <c r="P123" s="10"/>
      <c r="Q123" s="10"/>
      <c r="R123" s="12">
        <v>0.44736409480751615</v>
      </c>
      <c r="S123" s="12">
        <v>0.52878892233476227</v>
      </c>
      <c r="U123" s="11">
        <v>2306344.4018130139</v>
      </c>
      <c r="V123" s="11">
        <v>1363804.5048550288</v>
      </c>
      <c r="Z123" s="11">
        <v>209667.67289209215</v>
      </c>
      <c r="AB123" s="11">
        <v>753125</v>
      </c>
      <c r="AC123">
        <v>903750</v>
      </c>
      <c r="AD123">
        <v>376562.5</v>
      </c>
      <c r="AE123">
        <v>150625</v>
      </c>
      <c r="AF123" s="11">
        <v>2184062.5</v>
      </c>
      <c r="AG123" s="11">
        <v>665509.60053788556</v>
      </c>
      <c r="AH123" s="11">
        <v>1518552.8994621146</v>
      </c>
      <c r="AI123" s="11">
        <v>1260113.3379199016</v>
      </c>
    </row>
    <row r="124" spans="1:35" x14ac:dyDescent="0.25">
      <c r="A124">
        <v>1618</v>
      </c>
      <c r="B124">
        <v>1598437.5</v>
      </c>
      <c r="C124" s="11">
        <v>3750000</v>
      </c>
      <c r="D124" s="11">
        <v>441829.10074315523</v>
      </c>
      <c r="E124" s="11">
        <v>117872.08482770817</v>
      </c>
      <c r="F124" s="13">
        <v>0.23354985772482983</v>
      </c>
      <c r="G124" s="11">
        <v>233764.0954346513</v>
      </c>
      <c r="K124" s="12">
        <v>0.71177352842349395</v>
      </c>
      <c r="L124" s="12">
        <v>1.0026773610840121</v>
      </c>
      <c r="M124" s="12">
        <v>0.15201992654104729</v>
      </c>
      <c r="N124" s="10">
        <v>1828929.1361331814</v>
      </c>
      <c r="O124" s="10"/>
      <c r="P124" s="10"/>
      <c r="Q124" s="10"/>
      <c r="R124" s="12">
        <v>0.42876387502536573</v>
      </c>
      <c r="S124" s="12">
        <v>0.51224235058687462</v>
      </c>
      <c r="U124" s="11">
        <v>3697697.8479509447</v>
      </c>
      <c r="V124" s="11">
        <v>1387100.0353900262</v>
      </c>
      <c r="Z124" s="11">
        <v>336154.34981372219</v>
      </c>
      <c r="AB124" s="11">
        <v>2151562.5</v>
      </c>
      <c r="AC124">
        <v>959062.5</v>
      </c>
      <c r="AD124">
        <v>399609.375</v>
      </c>
      <c r="AE124">
        <v>159843.75</v>
      </c>
      <c r="AF124" s="11">
        <v>3670078.125</v>
      </c>
      <c r="AG124" s="11">
        <v>689849.13241901109</v>
      </c>
      <c r="AH124" s="11">
        <v>2980228.9925809889</v>
      </c>
      <c r="AI124" s="11">
        <v>2713487.3280456373</v>
      </c>
    </row>
    <row r="125" spans="1:35" x14ac:dyDescent="0.25">
      <c r="A125">
        <v>1619</v>
      </c>
      <c r="B125">
        <v>1690625</v>
      </c>
      <c r="C125" s="11">
        <v>3750000</v>
      </c>
      <c r="D125" s="11">
        <v>427313.93207244412</v>
      </c>
      <c r="E125" s="11">
        <v>98857.934064758098</v>
      </c>
      <c r="F125" s="13">
        <v>0.23998051616357668</v>
      </c>
      <c r="G125" s="11">
        <v>222012.26638400825</v>
      </c>
      <c r="H125" s="14">
        <v>0.66</v>
      </c>
      <c r="I125" s="14">
        <v>0.94</v>
      </c>
      <c r="J125" s="16">
        <v>0.13953488372093023</v>
      </c>
      <c r="K125" s="12">
        <v>0.65999999999999603</v>
      </c>
      <c r="L125" s="12">
        <v>0.93999999999999595</v>
      </c>
      <c r="M125" s="12">
        <v>0.13953488372092893</v>
      </c>
      <c r="N125" s="10">
        <v>1795991.7033286833</v>
      </c>
      <c r="O125" s="15">
        <v>0.4</v>
      </c>
      <c r="P125" s="15">
        <v>0.49</v>
      </c>
      <c r="Q125" s="10"/>
      <c r="R125" s="12">
        <v>0.39999999999999714</v>
      </c>
      <c r="S125" s="12">
        <v>0.48999999999999827</v>
      </c>
      <c r="U125" s="11">
        <v>3514035.9043898727</v>
      </c>
      <c r="V125" s="11">
        <v>1368677.7712562392</v>
      </c>
      <c r="Z125" s="11">
        <v>319457.80948998843</v>
      </c>
      <c r="AB125" s="11">
        <v>2059375</v>
      </c>
      <c r="AC125">
        <v>1014375</v>
      </c>
      <c r="AD125">
        <v>422656.25</v>
      </c>
      <c r="AE125">
        <v>169062.5</v>
      </c>
      <c r="AF125" s="11">
        <v>3665468.75</v>
      </c>
      <c r="AG125" s="11">
        <v>714609.81190501852</v>
      </c>
      <c r="AH125" s="11">
        <v>2950858.9380949815</v>
      </c>
      <c r="AI125" s="11">
        <v>2675734.1605115486</v>
      </c>
    </row>
    <row r="126" spans="1:35" x14ac:dyDescent="0.25">
      <c r="A126">
        <v>1620</v>
      </c>
      <c r="B126">
        <v>1782812.5</v>
      </c>
      <c r="C126" s="11">
        <v>3750000</v>
      </c>
      <c r="D126" s="11">
        <v>410960.68882924272</v>
      </c>
      <c r="E126" s="11">
        <v>84601.289072300817</v>
      </c>
      <c r="F126" s="13">
        <v>0.25004537377373021</v>
      </c>
      <c r="G126" s="11">
        <v>215180.58210413129</v>
      </c>
      <c r="K126" s="12">
        <v>0.59727975357031504</v>
      </c>
      <c r="L126" s="12">
        <v>0.86613807020966038</v>
      </c>
      <c r="M126" s="12">
        <v>0.12254641935084071</v>
      </c>
      <c r="N126" s="10">
        <v>1716161.4003299857</v>
      </c>
      <c r="O126" s="10"/>
      <c r="P126" s="10"/>
      <c r="Q126" s="10"/>
      <c r="R126" s="12">
        <v>0.36172430894746477</v>
      </c>
      <c r="S126" s="12">
        <v>0.46265173880697275</v>
      </c>
      <c r="T126" s="12">
        <v>3.6220445063694526E-2</v>
      </c>
      <c r="U126" s="11">
        <v>3281589.7142913262</v>
      </c>
      <c r="V126" s="11">
        <v>1305200.7115007429</v>
      </c>
      <c r="Z126" s="11">
        <v>298326.33766284783</v>
      </c>
      <c r="AB126" s="11">
        <v>1967187.5</v>
      </c>
      <c r="AC126">
        <v>1069687.5</v>
      </c>
      <c r="AD126">
        <v>445703.125</v>
      </c>
      <c r="AE126">
        <v>178281.25</v>
      </c>
      <c r="AF126" s="11">
        <v>3660859.375</v>
      </c>
      <c r="AG126" s="11">
        <v>739793.49682574999</v>
      </c>
      <c r="AH126" s="11">
        <v>2921065.87817425</v>
      </c>
      <c r="AI126" s="11">
        <v>2637478.3710577115</v>
      </c>
    </row>
    <row r="127" spans="1:35" x14ac:dyDescent="0.25">
      <c r="A127">
        <v>1621</v>
      </c>
      <c r="B127">
        <v>1875000</v>
      </c>
      <c r="C127" s="11">
        <v>3750000</v>
      </c>
      <c r="D127" s="11">
        <v>398599.83952496015</v>
      </c>
      <c r="E127" s="11">
        <v>82044.439634110386</v>
      </c>
      <c r="F127" s="13">
        <v>0.25810762159910861</v>
      </c>
      <c r="G127" s="11">
        <v>214632.74204273897</v>
      </c>
      <c r="K127" s="12">
        <v>0.53726175674393473</v>
      </c>
      <c r="L127" s="12">
        <v>0.7951052437293642</v>
      </c>
      <c r="M127" s="12">
        <v>0.10542472492368271</v>
      </c>
      <c r="N127" s="10">
        <v>1625047.1560731013</v>
      </c>
      <c r="O127" s="10"/>
      <c r="P127" s="10"/>
      <c r="Q127" s="10"/>
      <c r="R127" s="12">
        <v>0.3231868558044112</v>
      </c>
      <c r="S127" s="12">
        <v>0.43594312623485254</v>
      </c>
      <c r="T127" s="12">
        <v>3.7867739586493046E-2</v>
      </c>
      <c r="U127" s="11">
        <v>3051945.8380992343</v>
      </c>
      <c r="V127" s="11">
        <v>1226447.3165481412</v>
      </c>
      <c r="Z127" s="11">
        <v>277449.62164538493</v>
      </c>
      <c r="AB127" s="11">
        <v>1875000</v>
      </c>
      <c r="AC127">
        <v>1125000</v>
      </c>
      <c r="AD127">
        <v>468750</v>
      </c>
      <c r="AE127">
        <v>187500</v>
      </c>
      <c r="AF127" s="11">
        <v>3656250</v>
      </c>
      <c r="AG127" s="11">
        <v>765402.05236769887</v>
      </c>
      <c r="AH127" s="11">
        <v>2890847.9476323011</v>
      </c>
      <c r="AI127" s="11">
        <v>2598719.4976452952</v>
      </c>
    </row>
    <row r="128" spans="1:35" x14ac:dyDescent="0.25">
      <c r="A128">
        <v>1622</v>
      </c>
      <c r="B128">
        <v>1500000</v>
      </c>
      <c r="C128">
        <v>1875000</v>
      </c>
      <c r="D128" s="11">
        <v>303455.9396575744</v>
      </c>
      <c r="E128" s="11">
        <v>59106.674134406043</v>
      </c>
      <c r="F128" s="13">
        <v>0.27211118654166266</v>
      </c>
      <c r="G128" s="11">
        <v>168759.56684651598</v>
      </c>
      <c r="K128" s="12">
        <v>0.49660388313240006</v>
      </c>
      <c r="L128" s="12">
        <v>0.74400338214424055</v>
      </c>
      <c r="M128" s="12">
        <v>9.3523774309476809E-2</v>
      </c>
      <c r="N128" s="10">
        <v>1201431.7583979638</v>
      </c>
      <c r="O128" s="10"/>
      <c r="P128" s="10"/>
      <c r="Q128" s="10"/>
      <c r="R128" s="12">
        <v>0.29578724818762597</v>
      </c>
      <c r="S128" s="12">
        <v>0.41690864425924617</v>
      </c>
      <c r="T128" s="12">
        <v>3.9515034109291552E-2</v>
      </c>
      <c r="U128" s="11">
        <v>1444216.4842352611</v>
      </c>
      <c r="V128" s="11">
        <v>897975.81874038943</v>
      </c>
      <c r="Z128" s="11">
        <v>131292.407657751</v>
      </c>
      <c r="AB128" s="11">
        <v>375000</v>
      </c>
      <c r="AC128">
        <v>900000</v>
      </c>
      <c r="AD128">
        <v>375000</v>
      </c>
      <c r="AE128">
        <v>150000</v>
      </c>
      <c r="AF128" s="11">
        <v>1800000</v>
      </c>
      <c r="AG128" s="11">
        <v>789600.00000000023</v>
      </c>
      <c r="AH128" s="11">
        <v>1010399.9999999998</v>
      </c>
      <c r="AI128" s="11">
        <v>710351.9999999986</v>
      </c>
    </row>
    <row r="129" spans="1:35" x14ac:dyDescent="0.25">
      <c r="A129">
        <v>1623</v>
      </c>
      <c r="B129">
        <v>1550000</v>
      </c>
      <c r="C129">
        <v>1937500</v>
      </c>
      <c r="D129" s="11">
        <v>314637.01293607638</v>
      </c>
      <c r="E129" s="11">
        <v>66270.66075221193</v>
      </c>
      <c r="F129" s="13">
        <v>0.27213596547385499</v>
      </c>
      <c r="G129" s="11">
        <v>177738.70637556823</v>
      </c>
      <c r="K129" s="12">
        <v>0.49196400634725679</v>
      </c>
      <c r="L129" s="12">
        <v>0.72993434703942217</v>
      </c>
      <c r="M129" s="12">
        <v>9.2197541378244915E-2</v>
      </c>
      <c r="N129" s="10">
        <v>1227292.3900061308</v>
      </c>
      <c r="O129" s="10"/>
      <c r="P129" s="10"/>
      <c r="Q129" s="10"/>
      <c r="R129" s="12">
        <v>0.2909250937138988</v>
      </c>
      <c r="S129" s="12">
        <v>0.41258277485576195</v>
      </c>
      <c r="T129" s="12">
        <v>4.1162328632090073E-2</v>
      </c>
      <c r="U129" s="11">
        <v>1474762.895665427</v>
      </c>
      <c r="V129" s="11">
        <v>912655.37707005441</v>
      </c>
      <c r="Z129" s="11">
        <v>134069.35415140245</v>
      </c>
      <c r="AB129" s="11">
        <v>387500</v>
      </c>
      <c r="AC129">
        <v>930000</v>
      </c>
      <c r="AD129">
        <v>387500</v>
      </c>
      <c r="AE129">
        <v>155000</v>
      </c>
      <c r="AF129" s="11">
        <v>1860000</v>
      </c>
      <c r="AG129" s="11">
        <v>809126.01600000041</v>
      </c>
      <c r="AH129" s="11">
        <v>1050873.9839999997</v>
      </c>
      <c r="AI129" s="11">
        <v>744754.64127999858</v>
      </c>
    </row>
    <row r="130" spans="1:35" x14ac:dyDescent="0.25">
      <c r="A130">
        <v>1624</v>
      </c>
      <c r="B130">
        <v>1600000</v>
      </c>
      <c r="C130">
        <v>2000000</v>
      </c>
      <c r="D130" s="11">
        <v>348762.37122796953</v>
      </c>
      <c r="E130" s="11">
        <v>79343.822281990215</v>
      </c>
      <c r="F130" s="13">
        <v>0.25999416181388851</v>
      </c>
      <c r="G130" s="11">
        <v>193325.1027141267</v>
      </c>
      <c r="H130" s="14">
        <v>0.54</v>
      </c>
      <c r="I130" s="14">
        <v>0.77</v>
      </c>
      <c r="J130" s="14">
        <v>0.10680000000000001</v>
      </c>
      <c r="K130" s="12">
        <v>0.54000000000004988</v>
      </c>
      <c r="L130" s="12">
        <v>0.77000000000004176</v>
      </c>
      <c r="M130" s="12">
        <v>0.10680000000000892</v>
      </c>
      <c r="N130" s="10">
        <v>1385010.8279869219</v>
      </c>
      <c r="O130" s="15">
        <v>0.32</v>
      </c>
      <c r="P130" s="15">
        <v>0.43</v>
      </c>
      <c r="Q130" s="10"/>
      <c r="R130" s="12">
        <v>0.32000000000001921</v>
      </c>
      <c r="S130" s="12">
        <v>0.43000000000000826</v>
      </c>
      <c r="T130" s="12">
        <v>4.2809623154888579E-2</v>
      </c>
      <c r="U130" s="11">
        <v>1606994.6770831693</v>
      </c>
      <c r="V130" s="11">
        <v>1036248.4567589524</v>
      </c>
      <c r="Z130" s="11">
        <v>146090.42518937905</v>
      </c>
      <c r="AB130" s="11">
        <v>400000</v>
      </c>
      <c r="AC130">
        <v>960000</v>
      </c>
      <c r="AD130">
        <v>400000</v>
      </c>
      <c r="AE130">
        <v>160000</v>
      </c>
      <c r="AF130" s="11">
        <v>1920000</v>
      </c>
      <c r="AG130" s="11">
        <v>820444.93075104035</v>
      </c>
      <c r="AH130" s="11">
        <v>1099555.0692489597</v>
      </c>
      <c r="AI130" s="11">
        <v>790520.81199940015</v>
      </c>
    </row>
    <row r="131" spans="1:35" x14ac:dyDescent="0.25">
      <c r="A131">
        <v>1625</v>
      </c>
      <c r="B131">
        <v>1650000</v>
      </c>
      <c r="C131">
        <v>2062500</v>
      </c>
      <c r="D131" s="11">
        <v>370681.4547954828</v>
      </c>
      <c r="E131" s="11">
        <v>62745.612437618263</v>
      </c>
      <c r="F131" s="13">
        <v>0.24266031953844097</v>
      </c>
      <c r="G131" s="11">
        <v>180331.51854905646</v>
      </c>
      <c r="H131" s="14">
        <v>0.62</v>
      </c>
      <c r="I131" s="14">
        <v>0.85</v>
      </c>
      <c r="J131" s="14">
        <v>0.13600000000000001</v>
      </c>
      <c r="K131" s="12">
        <v>0.61999999999989575</v>
      </c>
      <c r="L131" s="12">
        <v>0.84999999999990739</v>
      </c>
      <c r="M131" s="12">
        <v>0.13599999999999299</v>
      </c>
      <c r="N131" s="10">
        <v>1639681.0297716584</v>
      </c>
      <c r="O131" s="15">
        <v>0.38</v>
      </c>
      <c r="P131" s="15">
        <v>0.47</v>
      </c>
      <c r="Q131" s="10"/>
      <c r="R131" s="12">
        <v>0.37999999999998701</v>
      </c>
      <c r="S131" s="12">
        <v>0.46999999999999814</v>
      </c>
      <c r="T131" s="12">
        <v>4.4456917677687086E-2</v>
      </c>
      <c r="U131" s="11">
        <v>1849232.9332712446</v>
      </c>
      <c r="V131" s="11">
        <v>1268999.5749761756</v>
      </c>
      <c r="Z131" s="11">
        <v>168112.08484284041</v>
      </c>
      <c r="AB131" s="11">
        <v>412500</v>
      </c>
      <c r="AC131">
        <v>990000</v>
      </c>
      <c r="AD131">
        <v>412500</v>
      </c>
      <c r="AE131">
        <v>165000</v>
      </c>
      <c r="AF131" s="11">
        <v>1980000</v>
      </c>
      <c r="AG131" s="11">
        <v>831617.60033554677</v>
      </c>
      <c r="AH131" s="11">
        <v>1148382.3996644532</v>
      </c>
      <c r="AI131" s="11">
        <v>836525.79953862214</v>
      </c>
    </row>
    <row r="132" spans="1:35" x14ac:dyDescent="0.25">
      <c r="A132">
        <v>1626</v>
      </c>
      <c r="B132">
        <v>1700000</v>
      </c>
      <c r="C132">
        <v>2125000</v>
      </c>
      <c r="D132" s="11">
        <v>320842.35665592155</v>
      </c>
      <c r="E132" s="11">
        <v>-18033.937043937913</v>
      </c>
      <c r="F132" s="13">
        <v>0.23450334447362736</v>
      </c>
      <c r="G132" s="11">
        <v>104080.22829874794</v>
      </c>
      <c r="H132" s="14">
        <v>0.64</v>
      </c>
      <c r="I132" s="14">
        <v>0.9</v>
      </c>
      <c r="J132" s="14">
        <v>0.157</v>
      </c>
      <c r="K132" s="12">
        <v>0.64000000000008206</v>
      </c>
      <c r="L132" s="12">
        <v>0.90000000000008606</v>
      </c>
      <c r="M132" s="12">
        <v>0.15699999999999698</v>
      </c>
      <c r="N132" s="10">
        <v>1765923.2123704124</v>
      </c>
      <c r="O132" s="15">
        <v>0.42</v>
      </c>
      <c r="P132" s="15">
        <v>0.51</v>
      </c>
      <c r="Q132" s="10"/>
      <c r="R132" s="12">
        <v>0.419999999999984</v>
      </c>
      <c r="S132" s="12">
        <v>0.50999999999998802</v>
      </c>
      <c r="T132" s="12">
        <v>4.6104212200485606E-2</v>
      </c>
      <c r="U132" s="11">
        <v>2077303.7300896028</v>
      </c>
      <c r="V132" s="11">
        <v>1445080.8557144909</v>
      </c>
      <c r="Z132" s="11">
        <v>188845.79364450937</v>
      </c>
      <c r="AB132" s="11">
        <v>425000</v>
      </c>
      <c r="AC132">
        <v>1020000</v>
      </c>
      <c r="AD132">
        <v>425000</v>
      </c>
      <c r="AE132">
        <v>170000</v>
      </c>
      <c r="AF132" s="11">
        <v>2040000</v>
      </c>
      <c r="AG132" s="11">
        <v>842647.66301518481</v>
      </c>
      <c r="AH132" s="11">
        <v>1197352.3369848151</v>
      </c>
      <c r="AI132" s="11">
        <v>882763.8761258116</v>
      </c>
    </row>
    <row r="133" spans="1:35" x14ac:dyDescent="0.25">
      <c r="A133">
        <v>1627</v>
      </c>
      <c r="B133">
        <v>1750000</v>
      </c>
      <c r="C133">
        <v>2187500</v>
      </c>
      <c r="D133" s="11">
        <v>537512.16885801149</v>
      </c>
      <c r="E133" s="11">
        <v>185527.55162813389</v>
      </c>
      <c r="F133" s="13">
        <v>0.23351194326819313</v>
      </c>
      <c r="G133" s="11">
        <v>311409.41862804815</v>
      </c>
      <c r="K133" s="12">
        <v>0.72200839401438854</v>
      </c>
      <c r="L133" s="12">
        <v>1.0321469834863168</v>
      </c>
      <c r="M133" s="12">
        <v>0.16368511411807701</v>
      </c>
      <c r="N133" s="10">
        <v>2044863.8370577672</v>
      </c>
      <c r="O133" s="10"/>
      <c r="P133" s="10"/>
      <c r="Q133" s="10"/>
      <c r="R133" s="12">
        <v>0.42558136328046697</v>
      </c>
      <c r="S133" s="12">
        <v>0.53565512081323641</v>
      </c>
      <c r="T133" s="12">
        <v>4.7751506723284112E-2</v>
      </c>
      <c r="U133" s="11">
        <v>2225322.6606449732</v>
      </c>
      <c r="V133" s="11">
        <v>1507351.6681997557</v>
      </c>
      <c r="Z133" s="11">
        <v>202302.06005863391</v>
      </c>
      <c r="AB133" s="11">
        <v>437500</v>
      </c>
      <c r="AC133">
        <v>1050000</v>
      </c>
      <c r="AD133">
        <v>437500</v>
      </c>
      <c r="AE133">
        <v>175000</v>
      </c>
      <c r="AF133" s="11">
        <v>2100000</v>
      </c>
      <c r="AG133" s="11">
        <v>862181.9353367422</v>
      </c>
      <c r="AH133" s="11">
        <v>1237818.0646632579</v>
      </c>
      <c r="AI133" s="11">
        <v>917373.77869643434</v>
      </c>
    </row>
    <row r="134" spans="1:35" x14ac:dyDescent="0.25">
      <c r="A134">
        <v>1628</v>
      </c>
      <c r="B134">
        <v>1800000</v>
      </c>
      <c r="C134">
        <v>2250000</v>
      </c>
      <c r="D134" s="11">
        <v>765316.03553990764</v>
      </c>
      <c r="E134" s="11">
        <v>394101.57993562013</v>
      </c>
      <c r="F134" s="13">
        <v>0.23158251309281849</v>
      </c>
      <c r="G134" s="11">
        <v>524874.01080755808</v>
      </c>
      <c r="H134" s="14">
        <v>0.82</v>
      </c>
      <c r="I134" s="14">
        <v>1.17</v>
      </c>
      <c r="J134" s="14">
        <v>0.1643</v>
      </c>
      <c r="K134" s="12">
        <v>0.81999999999996565</v>
      </c>
      <c r="L134" s="12">
        <v>1.1699999999999515</v>
      </c>
      <c r="M134" s="12">
        <v>0.16430000000000561</v>
      </c>
      <c r="N134" s="10">
        <v>2368262.8670889046</v>
      </c>
      <c r="O134" s="15">
        <v>0.44</v>
      </c>
      <c r="P134" s="15">
        <v>0.56999999999999995</v>
      </c>
      <c r="Q134" s="10"/>
      <c r="R134" s="12">
        <v>0.44000000000002437</v>
      </c>
      <c r="S134" s="12">
        <v>0.57000000000002049</v>
      </c>
      <c r="T134" s="12">
        <v>4.9398801246082619E-2</v>
      </c>
      <c r="U134" s="11">
        <v>2418081.7260014345</v>
      </c>
      <c r="V134" s="11">
        <v>1602946.831548997</v>
      </c>
      <c r="Z134" s="11">
        <v>219825.61145467585</v>
      </c>
      <c r="AB134" s="11">
        <v>450000</v>
      </c>
      <c r="AC134">
        <v>1080000</v>
      </c>
      <c r="AD134">
        <v>450000</v>
      </c>
      <c r="AE134">
        <v>180000</v>
      </c>
      <c r="AF134" s="11">
        <v>2160000</v>
      </c>
      <c r="AG134" s="11">
        <v>890659.93131316174</v>
      </c>
      <c r="AH134" s="11">
        <v>1269340.0686868383</v>
      </c>
      <c r="AI134" s="11">
        <v>939795.89410096721</v>
      </c>
    </row>
    <row r="135" spans="1:35" x14ac:dyDescent="0.25">
      <c r="A135">
        <v>1629</v>
      </c>
      <c r="B135">
        <v>1850000</v>
      </c>
      <c r="C135">
        <v>2312500</v>
      </c>
      <c r="D135" s="11">
        <v>648843.38327305228</v>
      </c>
      <c r="E135" s="11">
        <v>232514.08936082778</v>
      </c>
      <c r="F135" s="13">
        <v>0.22229042642200847</v>
      </c>
      <c r="G135" s="11">
        <v>367907.33446510101</v>
      </c>
      <c r="K135" s="12">
        <v>0.8521880728734591</v>
      </c>
      <c r="L135" s="12">
        <v>1.2089777155008725</v>
      </c>
      <c r="M135" s="12">
        <v>0.16515028040573465</v>
      </c>
      <c r="N135" s="10">
        <v>2521750.3753260607</v>
      </c>
      <c r="O135" s="10"/>
      <c r="P135" s="10"/>
      <c r="Q135" s="10"/>
      <c r="R135" s="12">
        <v>0.50020790038025453</v>
      </c>
      <c r="S135" s="12">
        <v>0.62970992280874716</v>
      </c>
      <c r="T135" s="12">
        <v>5.1046095768881139E-2</v>
      </c>
      <c r="U135" s="11">
        <v>2765411.5008105021</v>
      </c>
      <c r="V135" s="11">
        <v>1872906.9920530084</v>
      </c>
      <c r="Z135" s="11">
        <v>251401.04552822746</v>
      </c>
      <c r="AB135" s="11">
        <v>462500</v>
      </c>
      <c r="AC135">
        <v>1110000</v>
      </c>
      <c r="AD135">
        <v>462500</v>
      </c>
      <c r="AE135">
        <v>185000</v>
      </c>
      <c r="AF135" s="11">
        <v>2220000</v>
      </c>
      <c r="AG135" s="11">
        <v>919659.62469162652</v>
      </c>
      <c r="AH135" s="11">
        <v>1300340.3753083735</v>
      </c>
      <c r="AI135" s="11">
        <v>961599.08021362312</v>
      </c>
    </row>
    <row r="136" spans="1:35" x14ac:dyDescent="0.25">
      <c r="A136">
        <v>1630</v>
      </c>
      <c r="B136">
        <v>1900000</v>
      </c>
      <c r="C136">
        <v>2375000</v>
      </c>
      <c r="D136" s="11">
        <v>353493.29069603002</v>
      </c>
      <c r="E136" s="11">
        <v>-116579.52298738444</v>
      </c>
      <c r="F136" s="13">
        <v>0.21445824239412334</v>
      </c>
      <c r="G136" s="11">
        <v>24707.037179460458</v>
      </c>
      <c r="H136" s="14">
        <v>0.84</v>
      </c>
      <c r="I136" s="14">
        <v>1.19</v>
      </c>
      <c r="J136" s="14">
        <v>0.15570000000000001</v>
      </c>
      <c r="K136" s="12">
        <v>0.84000000000001418</v>
      </c>
      <c r="L136" s="12">
        <v>1.190000000000027</v>
      </c>
      <c r="M136" s="12">
        <v>0.15569999999998416</v>
      </c>
      <c r="N136" s="10">
        <v>2545401.6474731606</v>
      </c>
      <c r="O136" s="15">
        <v>0.56999999999999995</v>
      </c>
      <c r="P136" s="15">
        <v>0.67</v>
      </c>
      <c r="Q136" s="10"/>
      <c r="R136" s="12">
        <v>0.5700000000000065</v>
      </c>
      <c r="S136" s="12">
        <v>0.66999999999994764</v>
      </c>
      <c r="T136" s="12">
        <v>5.2693390291679645E-2</v>
      </c>
      <c r="U136" s="11">
        <v>3076362.6060027876</v>
      </c>
      <c r="V136" s="11">
        <v>2191908.3567771306</v>
      </c>
      <c r="Z136" s="11">
        <v>279669.32781843521</v>
      </c>
      <c r="AB136" s="11">
        <v>475000</v>
      </c>
      <c r="AC136">
        <v>1140000</v>
      </c>
      <c r="AD136">
        <v>475000</v>
      </c>
      <c r="AE136">
        <v>190000</v>
      </c>
      <c r="AF136" s="11">
        <v>2280000</v>
      </c>
      <c r="AG136" s="11">
        <v>949185.50063310552</v>
      </c>
      <c r="AH136" s="11">
        <v>1330814.4993668944</v>
      </c>
      <c r="AI136" s="11">
        <v>982779.81580142106</v>
      </c>
    </row>
    <row r="137" spans="1:35" x14ac:dyDescent="0.25">
      <c r="A137">
        <v>1631</v>
      </c>
      <c r="B137">
        <v>1950000</v>
      </c>
      <c r="C137">
        <v>2437500</v>
      </c>
      <c r="D137" s="11">
        <v>206311.09716879996</v>
      </c>
      <c r="E137" s="11">
        <v>-288511.50189225387</v>
      </c>
      <c r="F137" s="13">
        <v>0.21250490914394482</v>
      </c>
      <c r="G137" s="11">
        <v>-142967.37436467997</v>
      </c>
      <c r="H137" s="14">
        <v>0.82</v>
      </c>
      <c r="I137" s="14">
        <v>1.17</v>
      </c>
      <c r="J137" s="14">
        <v>0.1331</v>
      </c>
      <c r="K137" s="12">
        <v>0.81999999999998152</v>
      </c>
      <c r="L137" s="12">
        <v>1.1699999999999793</v>
      </c>
      <c r="M137" s="12">
        <v>0.13310000000001079</v>
      </c>
      <c r="N137" s="10">
        <v>2534834.2407253329</v>
      </c>
      <c r="O137" s="15">
        <v>0.59</v>
      </c>
      <c r="P137" s="15">
        <v>0.67</v>
      </c>
      <c r="Q137" s="10"/>
      <c r="R137" s="12">
        <v>0.5899999999999217</v>
      </c>
      <c r="S137" s="12">
        <v>0.67000000000008797</v>
      </c>
      <c r="T137" s="12">
        <v>5.4340684814478152E-2</v>
      </c>
      <c r="U137" s="11">
        <v>3186919.3871563743</v>
      </c>
      <c r="V137" s="11">
        <v>2328523.1435565329</v>
      </c>
      <c r="Z137" s="11">
        <v>289719.94428694312</v>
      </c>
      <c r="AB137" s="11">
        <v>487500</v>
      </c>
      <c r="AC137">
        <v>1170000</v>
      </c>
      <c r="AD137">
        <v>487500</v>
      </c>
      <c r="AE137">
        <v>195000</v>
      </c>
      <c r="AF137" s="11">
        <v>2340000</v>
      </c>
      <c r="AG137" s="11">
        <v>979242.07933939341</v>
      </c>
      <c r="AH137" s="11">
        <v>1360757.9206606066</v>
      </c>
      <c r="AI137" s="11">
        <v>1003334.5617017266</v>
      </c>
    </row>
    <row r="138" spans="1:35" x14ac:dyDescent="0.25">
      <c r="A138">
        <v>1632</v>
      </c>
      <c r="B138">
        <v>1953947.3684210526</v>
      </c>
      <c r="C138">
        <v>2442434.2105263155</v>
      </c>
      <c r="D138" s="11">
        <v>346030.87440885743</v>
      </c>
      <c r="E138" s="11">
        <v>-117960.73622977833</v>
      </c>
      <c r="F138" s="13">
        <v>0.2172749062530222</v>
      </c>
      <c r="G138" s="11">
        <v>25705.150669983355</v>
      </c>
      <c r="H138" s="14">
        <v>0.8</v>
      </c>
      <c r="I138" s="14">
        <v>1.1399999999999999</v>
      </c>
      <c r="J138" s="14">
        <v>0.13400000000000001</v>
      </c>
      <c r="K138" s="12">
        <v>0.80000000000004379</v>
      </c>
      <c r="L138" s="12">
        <v>1.1400000000000172</v>
      </c>
      <c r="M138" s="12">
        <v>0.1340000000000188</v>
      </c>
      <c r="N138" s="10">
        <v>2481535.6993346848</v>
      </c>
      <c r="O138" s="15">
        <v>0.54</v>
      </c>
      <c r="P138" s="15">
        <v>0.7</v>
      </c>
      <c r="Q138" s="10"/>
      <c r="R138" s="12">
        <v>0.54000000000011961</v>
      </c>
      <c r="S138" s="12">
        <v>0.69999999999991425</v>
      </c>
      <c r="T138" s="12">
        <v>5.5987979337276672E-2</v>
      </c>
      <c r="U138" s="11">
        <v>3223030.4302112949</v>
      </c>
      <c r="V138" s="11">
        <v>2135504.8249258273</v>
      </c>
      <c r="Z138" s="11">
        <v>293002.766382845</v>
      </c>
      <c r="AB138" s="11">
        <v>488486.84210526291</v>
      </c>
      <c r="AC138">
        <v>1172368.4210526315</v>
      </c>
      <c r="AD138">
        <v>488486.84210526315</v>
      </c>
      <c r="AE138">
        <v>195394.73684210528</v>
      </c>
      <c r="AF138" s="11">
        <v>2344736.8421052629</v>
      </c>
      <c r="AG138" s="11">
        <v>1009833.9163121338</v>
      </c>
      <c r="AH138" s="11">
        <v>1334902.925793129</v>
      </c>
      <c r="AI138" s="11">
        <v>967996.6028663856</v>
      </c>
    </row>
    <row r="139" spans="1:35" x14ac:dyDescent="0.25">
      <c r="A139">
        <v>1633</v>
      </c>
      <c r="B139">
        <v>1957894.7368421052</v>
      </c>
      <c r="C139">
        <v>2447368.4210526315</v>
      </c>
      <c r="D139" s="11">
        <v>365057.07994844392</v>
      </c>
      <c r="E139" s="11">
        <v>-100089.58509546207</v>
      </c>
      <c r="F139" s="13">
        <v>0.21737664271705981</v>
      </c>
      <c r="G139" s="11">
        <v>44084.233535492327</v>
      </c>
      <c r="H139" s="14">
        <v>0.8</v>
      </c>
      <c r="I139" s="14">
        <v>1.1200000000000001</v>
      </c>
      <c r="J139" s="14">
        <v>0.1605</v>
      </c>
      <c r="K139" s="12">
        <v>0.79999999999993698</v>
      </c>
      <c r="L139" s="12">
        <v>1.1199999999999792</v>
      </c>
      <c r="M139" s="12">
        <v>0.1604999999999813</v>
      </c>
      <c r="N139" s="10">
        <v>2504876.056034788</v>
      </c>
      <c r="O139" s="15">
        <v>0.54</v>
      </c>
      <c r="P139" s="15">
        <v>0.67</v>
      </c>
      <c r="Q139" s="10"/>
      <c r="R139" s="12">
        <v>0.53999999999987991</v>
      </c>
      <c r="S139" s="12">
        <v>0.67000000000002813</v>
      </c>
      <c r="T139" s="12">
        <v>5.7635273860075178E-2</v>
      </c>
      <c r="U139" s="11">
        <v>3125522.6247933991</v>
      </c>
      <c r="V139" s="11">
        <v>2139818.9760863441</v>
      </c>
      <c r="Z139" s="11">
        <v>284138.42043576355</v>
      </c>
      <c r="AB139" s="11">
        <v>489473.68421052629</v>
      </c>
      <c r="AC139">
        <v>1174736.8421052631</v>
      </c>
      <c r="AD139">
        <v>489473.68421052629</v>
      </c>
      <c r="AE139">
        <v>195789.47368421053</v>
      </c>
      <c r="AF139" s="11">
        <v>2349473.6842105258</v>
      </c>
      <c r="AG139" s="11">
        <v>1040965.602613691</v>
      </c>
      <c r="AH139" s="11">
        <v>1308508.0815968348</v>
      </c>
      <c r="AI139" s="11">
        <v>932025.52198488172</v>
      </c>
    </row>
    <row r="140" spans="1:35" x14ac:dyDescent="0.25">
      <c r="A140">
        <v>1634</v>
      </c>
      <c r="B140">
        <v>1961842.1052631577</v>
      </c>
      <c r="C140">
        <v>2452302.6315789474</v>
      </c>
      <c r="D140" s="11">
        <v>452948.12313090567</v>
      </c>
      <c r="E140" s="11">
        <v>13385.717273109527</v>
      </c>
      <c r="F140" s="13">
        <v>0.22140761331156508</v>
      </c>
      <c r="G140" s="11">
        <v>155151.8554574608</v>
      </c>
      <c r="H140" s="14">
        <v>0.77</v>
      </c>
      <c r="I140" s="14">
        <v>1.1100000000000001</v>
      </c>
      <c r="J140" s="14">
        <v>0.1643</v>
      </c>
      <c r="K140" s="12">
        <v>0.77000000000007518</v>
      </c>
      <c r="L140" s="12">
        <v>1.1100000000000667</v>
      </c>
      <c r="M140" s="12">
        <v>0.16429999999997957</v>
      </c>
      <c r="N140" s="10">
        <v>2438256.574287205</v>
      </c>
      <c r="O140" s="15">
        <v>0.5</v>
      </c>
      <c r="P140" s="15">
        <v>0.66</v>
      </c>
      <c r="Q140" s="10"/>
      <c r="R140" s="12">
        <v>0.50000000000012079</v>
      </c>
      <c r="S140" s="12">
        <v>0.66000000000009318</v>
      </c>
      <c r="T140" s="12">
        <v>5.9282568382873699E-2</v>
      </c>
      <c r="U140" s="11">
        <v>3037521.9302689075</v>
      </c>
      <c r="V140" s="11">
        <v>1985308.4511562993</v>
      </c>
      <c r="Z140" s="11">
        <v>276138.35729717341</v>
      </c>
      <c r="AB140" s="11">
        <v>490460.52631578967</v>
      </c>
      <c r="AC140">
        <v>1177105.2631578946</v>
      </c>
      <c r="AD140">
        <v>490460.52631578944</v>
      </c>
      <c r="AE140">
        <v>196184.21052631579</v>
      </c>
      <c r="AF140" s="11">
        <v>2354210.5263157897</v>
      </c>
      <c r="AG140" s="11">
        <v>1046010.0960016326</v>
      </c>
      <c r="AH140" s="11">
        <v>1308200.4303141572</v>
      </c>
      <c r="AI140" s="11">
        <v>931636.79575356795</v>
      </c>
    </row>
    <row r="141" spans="1:35" x14ac:dyDescent="0.25">
      <c r="A141">
        <v>1635</v>
      </c>
      <c r="B141">
        <v>1965789.4736842103</v>
      </c>
      <c r="C141">
        <v>2457236.8421052629</v>
      </c>
      <c r="D141" s="11">
        <v>380454.20555191208</v>
      </c>
      <c r="E141" s="11">
        <v>-67895.097341075714</v>
      </c>
      <c r="F141" s="13">
        <v>0.22096087535832157</v>
      </c>
      <c r="G141" s="11">
        <v>76090.841110636189</v>
      </c>
      <c r="H141" s="14">
        <v>0.76</v>
      </c>
      <c r="I141" s="14">
        <v>1.1100000000000001</v>
      </c>
      <c r="J141" s="14">
        <v>0.1545</v>
      </c>
      <c r="K141" s="12">
        <v>0.75999999999980239</v>
      </c>
      <c r="L141" s="12">
        <v>1.1099999999997812</v>
      </c>
      <c r="M141" s="12">
        <v>0.15450000000004194</v>
      </c>
      <c r="N141" s="10">
        <v>2409543.3018270847</v>
      </c>
      <c r="O141" s="15">
        <v>0.51</v>
      </c>
      <c r="P141" s="15">
        <v>0.66</v>
      </c>
      <c r="Q141" s="10"/>
      <c r="R141" s="12">
        <v>0.50999999999982337</v>
      </c>
      <c r="S141" s="12">
        <v>0.65999999999967907</v>
      </c>
      <c r="T141" s="12">
        <v>6.0929862905672205E-2</v>
      </c>
      <c r="U141" s="11">
        <v>3058553.4171791668</v>
      </c>
      <c r="V141" s="11">
        <v>2029089.0962751727</v>
      </c>
      <c r="W141" s="11">
        <v>1324456.4877235119</v>
      </c>
      <c r="X141" s="11">
        <v>641332.98596069845</v>
      </c>
      <c r="Y141" s="11">
        <v>798571.39701669849</v>
      </c>
      <c r="Z141" s="11">
        <v>278050.31065265153</v>
      </c>
      <c r="AB141" s="11">
        <v>491447.36842105258</v>
      </c>
      <c r="AC141">
        <v>1179473.6842105261</v>
      </c>
      <c r="AD141">
        <v>491447.36842105258</v>
      </c>
      <c r="AE141">
        <v>196578.94736842104</v>
      </c>
      <c r="AF141" s="11">
        <v>2358947.3684210521</v>
      </c>
      <c r="AG141" s="11">
        <v>1050868.4772846117</v>
      </c>
      <c r="AH141" s="11">
        <v>1308078.8911364404</v>
      </c>
      <c r="AI141" s="11">
        <v>931517.68677611975</v>
      </c>
    </row>
    <row r="142" spans="1:35" x14ac:dyDescent="0.25">
      <c r="A142">
        <v>1636</v>
      </c>
      <c r="B142">
        <v>1969736.8421052629</v>
      </c>
      <c r="C142" s="11">
        <v>1995034.6256399998</v>
      </c>
      <c r="D142" s="11">
        <v>438625.14127510646</v>
      </c>
      <c r="E142" s="11">
        <v>-16771.722906557519</v>
      </c>
      <c r="F142" s="13">
        <v>0.21967697938667674</v>
      </c>
      <c r="G142" s="11">
        <v>127670.71255906543</v>
      </c>
      <c r="H142" s="14">
        <v>0.79</v>
      </c>
      <c r="I142" s="14">
        <v>1.1000000000000001</v>
      </c>
      <c r="J142" s="14">
        <v>0.18410000000000001</v>
      </c>
      <c r="K142" s="12">
        <v>0.79000000000047554</v>
      </c>
      <c r="L142" s="12">
        <v>1.1000000000004093</v>
      </c>
      <c r="M142" s="12">
        <v>0.18409999999999574</v>
      </c>
      <c r="N142" s="10">
        <v>2511654.6660487135</v>
      </c>
      <c r="O142" s="15">
        <v>0.52</v>
      </c>
      <c r="P142" s="15">
        <v>0.6</v>
      </c>
      <c r="Q142" s="10"/>
      <c r="R142" s="12">
        <v>0.52000000000033242</v>
      </c>
      <c r="S142" s="12">
        <v>0.6000000000006035</v>
      </c>
      <c r="T142" s="12">
        <v>6.2577157428470712E-2</v>
      </c>
      <c r="U142" s="11">
        <v>2325770.4960021079</v>
      </c>
      <c r="V142" s="11">
        <v>2073029.524773607</v>
      </c>
      <c r="W142" s="11">
        <v>1503087.5846234192</v>
      </c>
      <c r="X142" s="11">
        <v>466649.2574818437</v>
      </c>
      <c r="Y142" s="11">
        <v>817183.08788784372</v>
      </c>
      <c r="Z142" s="11">
        <v>211433.68145473709</v>
      </c>
      <c r="AB142" s="11">
        <v>25297.783534736838</v>
      </c>
      <c r="AC142">
        <v>1181842.1052631577</v>
      </c>
      <c r="AD142">
        <v>492434.21052631573</v>
      </c>
      <c r="AE142">
        <v>196973.68421052629</v>
      </c>
      <c r="AF142" s="11">
        <v>1896547.7835347366</v>
      </c>
      <c r="AG142" s="11">
        <v>1055548.4183770213</v>
      </c>
      <c r="AH142" s="11">
        <v>840999.36515771528</v>
      </c>
      <c r="AI142" s="11">
        <v>464520.42926990939</v>
      </c>
    </row>
    <row r="143" spans="1:35" x14ac:dyDescent="0.25">
      <c r="A143">
        <v>1637</v>
      </c>
      <c r="B143">
        <v>1973684.2105263155</v>
      </c>
      <c r="C143" s="11">
        <v>1486983.12451</v>
      </c>
      <c r="D143" s="11">
        <v>605978.45480963169</v>
      </c>
      <c r="E143" s="11">
        <v>54475.120278887385</v>
      </c>
      <c r="F143" s="13">
        <v>0.20606381566609966</v>
      </c>
      <c r="G143" s="11">
        <v>204522.72172907059</v>
      </c>
      <c r="H143" s="14">
        <v>1.06</v>
      </c>
      <c r="I143" s="14">
        <v>1.36</v>
      </c>
      <c r="J143" s="14">
        <v>0.1988</v>
      </c>
      <c r="K143" s="12">
        <v>1.0599999999994423</v>
      </c>
      <c r="L143" s="12">
        <v>1.3599999999996484</v>
      </c>
      <c r="M143" s="12">
        <v>0.19879999999995357</v>
      </c>
      <c r="N143" s="10">
        <v>3282350.0086800391</v>
      </c>
      <c r="O143" s="15">
        <v>0.67</v>
      </c>
      <c r="P143" s="15">
        <v>0.85</v>
      </c>
      <c r="Q143" s="10"/>
      <c r="R143" s="12">
        <v>0.6699999999995937</v>
      </c>
      <c r="S143" s="12">
        <v>0.84999999999937403</v>
      </c>
      <c r="T143" s="12">
        <v>6.4224451951269232E-2</v>
      </c>
      <c r="U143" s="11">
        <v>2395593.0439983141</v>
      </c>
      <c r="V143" s="11">
        <v>2676371.5538704074</v>
      </c>
      <c r="W143" s="11">
        <v>1206094.6446984487</v>
      </c>
      <c r="X143" s="11">
        <v>767589.56582786678</v>
      </c>
      <c r="Y143" s="11">
        <v>1378315.2417718666</v>
      </c>
      <c r="Z143" s="11">
        <v>217781.18581802852</v>
      </c>
      <c r="AB143" s="11">
        <v>-486701.0860163155</v>
      </c>
      <c r="AC143">
        <v>1184210.5263157892</v>
      </c>
      <c r="AD143">
        <v>493421.05263157887</v>
      </c>
      <c r="AE143">
        <v>197368.42105263157</v>
      </c>
      <c r="AF143" s="11">
        <v>1388298.913983684</v>
      </c>
      <c r="AG143" s="11">
        <v>1060057.3656104309</v>
      </c>
      <c r="AH143" s="11">
        <v>328241.54837325308</v>
      </c>
      <c r="AI143" s="11">
        <v>-48078.81641845149</v>
      </c>
    </row>
    <row r="144" spans="1:35" x14ac:dyDescent="0.25">
      <c r="A144">
        <v>1638</v>
      </c>
      <c r="B144">
        <v>1977631.5789473681</v>
      </c>
      <c r="C144" s="11">
        <v>3679402.2583399997</v>
      </c>
      <c r="D144" s="11">
        <v>732971.28639441961</v>
      </c>
      <c r="E144" s="11">
        <v>264732.5139031139</v>
      </c>
      <c r="F144" s="13">
        <v>0.21663782592357922</v>
      </c>
      <c r="G144" s="11">
        <v>408762.8266101522</v>
      </c>
      <c r="H144" s="14">
        <v>0.91</v>
      </c>
      <c r="I144" s="14">
        <v>1.37</v>
      </c>
      <c r="J144" s="14">
        <v>0.1605</v>
      </c>
      <c r="K144" s="12">
        <v>0.9100000000002727</v>
      </c>
      <c r="L144" s="12">
        <v>1.3700000000000947</v>
      </c>
      <c r="M144" s="12">
        <v>0.16050000000003767</v>
      </c>
      <c r="N144" s="10">
        <v>2894361.0182895358</v>
      </c>
      <c r="O144" s="15">
        <v>0.54</v>
      </c>
      <c r="P144" s="15">
        <v>0.68</v>
      </c>
      <c r="Q144" s="10"/>
      <c r="R144" s="12">
        <v>0.54000000000024229</v>
      </c>
      <c r="S144" s="12">
        <v>0.68000000000029637</v>
      </c>
      <c r="T144" s="12">
        <v>6.5871746474067738E-2</v>
      </c>
      <c r="U144" s="11">
        <v>4751074.9880020861</v>
      </c>
      <c r="V144" s="11">
        <v>2161389.7318951162</v>
      </c>
      <c r="W144" s="11">
        <v>1198401.4776561719</v>
      </c>
      <c r="X144" s="11">
        <v>779230.10129119619</v>
      </c>
      <c r="Y144" s="11">
        <v>1538573.3059711959</v>
      </c>
      <c r="Z144" s="11">
        <v>431915.90800018969</v>
      </c>
      <c r="AB144" s="11">
        <v>1701770.6793926316</v>
      </c>
      <c r="AC144">
        <v>1186578.9473684209</v>
      </c>
      <c r="AD144">
        <v>494407.89473684202</v>
      </c>
      <c r="AE144">
        <v>197763.15789473683</v>
      </c>
      <c r="AF144" s="11">
        <v>3580520.6793926316</v>
      </c>
      <c r="AG144" s="11">
        <v>1091492.995446095</v>
      </c>
      <c r="AH144" s="11">
        <v>2489027.6839465369</v>
      </c>
      <c r="AI144" s="11">
        <v>2103366.8255555816</v>
      </c>
    </row>
    <row r="145" spans="1:35" x14ac:dyDescent="0.25">
      <c r="A145">
        <v>1639</v>
      </c>
      <c r="B145">
        <v>1981578.9473684207</v>
      </c>
      <c r="C145" s="11">
        <v>5290948.9304799996</v>
      </c>
      <c r="D145" s="11">
        <v>571654.07900414127</v>
      </c>
      <c r="E145" s="11">
        <v>128739.60070814801</v>
      </c>
      <c r="F145" s="13">
        <v>0.22174005195302343</v>
      </c>
      <c r="G145" s="11">
        <v>272036.70650314633</v>
      </c>
      <c r="K145" s="12">
        <v>0.79247198519050588</v>
      </c>
      <c r="L145" s="12">
        <v>1.2875376654757165</v>
      </c>
      <c r="M145" s="12">
        <v>0.14538906964644233</v>
      </c>
      <c r="N145" s="10">
        <v>2569103.2290107743</v>
      </c>
      <c r="O145" s="10"/>
      <c r="P145" s="10"/>
      <c r="Q145" s="10"/>
      <c r="R145" s="12">
        <v>0.49804710119545209</v>
      </c>
      <c r="S145" s="12">
        <v>0.5623546699238926</v>
      </c>
      <c r="T145" s="12">
        <v>6.7519040996866259E-2</v>
      </c>
      <c r="U145" s="11">
        <v>5815368.4972142717</v>
      </c>
      <c r="V145" s="11">
        <v>1997449.150006633</v>
      </c>
      <c r="W145" s="11">
        <v>1264947.1623975732</v>
      </c>
      <c r="X145" s="11">
        <v>716631.78497084742</v>
      </c>
      <c r="Y145" s="11">
        <v>1679856.4848868474</v>
      </c>
      <c r="Z145" s="11">
        <v>528669.86338311562</v>
      </c>
      <c r="AB145" s="11">
        <v>3309369.983111579</v>
      </c>
      <c r="AC145">
        <v>1188947.3684210523</v>
      </c>
      <c r="AD145">
        <v>495394.73684210517</v>
      </c>
      <c r="AE145">
        <v>198157.89473684208</v>
      </c>
      <c r="AF145" s="11">
        <v>5191869.983111579</v>
      </c>
      <c r="AG145" s="11">
        <v>1123471.1907746249</v>
      </c>
      <c r="AH145" s="11">
        <v>4068398.7923369538</v>
      </c>
      <c r="AI145" s="11">
        <v>3673311.423581209</v>
      </c>
    </row>
    <row r="146" spans="1:35" x14ac:dyDescent="0.25">
      <c r="A146">
        <v>1640</v>
      </c>
      <c r="B146">
        <v>1985526.3157894732</v>
      </c>
      <c r="C146" s="11">
        <v>4420157.7972200001</v>
      </c>
      <c r="D146" s="11">
        <v>517890.87807404855</v>
      </c>
      <c r="E146" s="11">
        <v>81251.551972121801</v>
      </c>
      <c r="F146" s="13">
        <v>0.22174670983846226</v>
      </c>
      <c r="G146" s="11">
        <v>222527.31230569346</v>
      </c>
      <c r="H146" s="14">
        <v>0.76</v>
      </c>
      <c r="I146" s="14">
        <v>1.25</v>
      </c>
      <c r="J146" s="14">
        <v>0.1515</v>
      </c>
      <c r="K146" s="12">
        <v>0.75999999999996082</v>
      </c>
      <c r="L146" s="12">
        <v>1.2500000000001117</v>
      </c>
      <c r="M146" s="12">
        <v>0.15149999999999617</v>
      </c>
      <c r="N146" s="10">
        <v>2486981.3165297494</v>
      </c>
      <c r="O146" s="15">
        <v>0.49</v>
      </c>
      <c r="P146" s="15">
        <v>0.55000000000000004</v>
      </c>
      <c r="Q146" s="10"/>
      <c r="R146" s="12">
        <v>0.48999999999986665</v>
      </c>
      <c r="S146" s="12">
        <v>0.54999999999995164</v>
      </c>
      <c r="T146" s="12">
        <v>6.9166335519664765E-2</v>
      </c>
      <c r="U146" s="11">
        <v>4759302.8559993394</v>
      </c>
      <c r="V146" s="11">
        <v>1969090.4384557009</v>
      </c>
      <c r="W146" s="11">
        <v>1448342.9122927804</v>
      </c>
      <c r="X146" s="11">
        <v>537183.40349669289</v>
      </c>
      <c r="Y146" s="11">
        <v>1579722.5923886928</v>
      </c>
      <c r="Z146" s="11">
        <v>432663.89599993994</v>
      </c>
      <c r="AB146" s="11">
        <v>2434631.4814305268</v>
      </c>
      <c r="AC146">
        <v>1191315.7894736838</v>
      </c>
      <c r="AD146">
        <v>496381.57894736831</v>
      </c>
      <c r="AE146">
        <v>198552.63157894733</v>
      </c>
      <c r="AF146" s="11">
        <v>4320881.4814305259</v>
      </c>
      <c r="AG146" s="11">
        <v>1155996.5806992613</v>
      </c>
      <c r="AH146" s="11">
        <v>3164884.9007312646</v>
      </c>
      <c r="AI146" s="11">
        <v>2760286.0974865211</v>
      </c>
    </row>
    <row r="147" spans="1:35" x14ac:dyDescent="0.25">
      <c r="A147">
        <v>1641</v>
      </c>
      <c r="B147">
        <v>1989473.6842105258</v>
      </c>
      <c r="C147" s="11">
        <v>7211216.375049999</v>
      </c>
      <c r="D147" s="11">
        <v>788698.73483456182</v>
      </c>
      <c r="E147" s="11">
        <v>420502.23821725335</v>
      </c>
      <c r="F147" s="13">
        <v>0.2406378399650623</v>
      </c>
      <c r="G147" s="11">
        <v>559185.8930445303</v>
      </c>
      <c r="H147" s="14">
        <v>0.69</v>
      </c>
      <c r="I147" s="14">
        <v>1.24</v>
      </c>
      <c r="J147" s="14">
        <v>0.1515</v>
      </c>
      <c r="K147" s="12">
        <v>0.68999999999997008</v>
      </c>
      <c r="L147" s="12">
        <v>1.2399999999997802</v>
      </c>
      <c r="M147" s="12">
        <v>0.15149999999999197</v>
      </c>
      <c r="N147" s="10">
        <v>2318784.3467681054</v>
      </c>
      <c r="O147" s="15">
        <v>0.38</v>
      </c>
      <c r="P147" s="15">
        <v>0.51</v>
      </c>
      <c r="Q147" s="10"/>
      <c r="R147" s="12">
        <v>0.38000000000012302</v>
      </c>
      <c r="S147" s="12">
        <v>0.50999999999999279</v>
      </c>
      <c r="T147" s="12">
        <v>7.0813630042463271E-2</v>
      </c>
      <c r="U147" s="11">
        <v>6874219.0950004645</v>
      </c>
      <c r="V147" s="11">
        <v>1530085.6119335436</v>
      </c>
      <c r="W147" s="11">
        <v>1374413.979637234</v>
      </c>
      <c r="X147" s="11">
        <v>615059.70457329182</v>
      </c>
      <c r="Y147" s="11">
        <v>1464303.4741152918</v>
      </c>
      <c r="Z147" s="11">
        <v>624929.00863640581</v>
      </c>
      <c r="AB147" s="11">
        <v>5221742.6908394732</v>
      </c>
      <c r="AC147">
        <v>1193684.2105263155</v>
      </c>
      <c r="AD147">
        <v>497368.42105263146</v>
      </c>
      <c r="AE147">
        <v>198947.36842105258</v>
      </c>
      <c r="AF147" s="11">
        <v>7111742.6908394722</v>
      </c>
      <c r="AG147" s="11">
        <v>1189073.8303401256</v>
      </c>
      <c r="AH147" s="11">
        <v>5922668.8604993466</v>
      </c>
      <c r="AI147" s="11">
        <v>5508474.8095975341</v>
      </c>
    </row>
    <row r="148" spans="1:35" x14ac:dyDescent="0.25">
      <c r="A148">
        <v>1642</v>
      </c>
      <c r="B148">
        <v>1993421.0526315784</v>
      </c>
      <c r="C148" s="11">
        <v>5106199.7858600002</v>
      </c>
      <c r="D148" s="11">
        <v>649155.91768432222</v>
      </c>
      <c r="E148" s="11">
        <v>305381.5839279748</v>
      </c>
      <c r="F148" s="13">
        <v>0.25061182300510743</v>
      </c>
      <c r="G148" s="11">
        <v>443394.87478890701</v>
      </c>
      <c r="H148" s="14">
        <v>0.6</v>
      </c>
      <c r="I148" s="14">
        <v>1.07</v>
      </c>
      <c r="J148" s="14">
        <v>0.1356</v>
      </c>
      <c r="K148" s="12">
        <v>0.6000000000000757</v>
      </c>
      <c r="L148" s="12">
        <v>1.0700000000001844</v>
      </c>
      <c r="M148" s="12">
        <v>0.1355999999999998</v>
      </c>
      <c r="N148" s="10">
        <v>2020896.203653757</v>
      </c>
      <c r="O148" s="15">
        <v>0.34</v>
      </c>
      <c r="P148" s="15">
        <v>0.46</v>
      </c>
      <c r="Q148" s="10"/>
      <c r="R148" s="12">
        <v>0.33999999999995051</v>
      </c>
      <c r="S148" s="12">
        <v>0.46000000000004748</v>
      </c>
      <c r="T148" s="12">
        <v>7.2460924565261792E-2</v>
      </c>
      <c r="U148" s="11">
        <v>4381850.8960001897</v>
      </c>
      <c r="V148" s="11">
        <v>1371740.2859694348</v>
      </c>
      <c r="W148" s="11">
        <v>1498364.7918714366</v>
      </c>
      <c r="X148" s="11">
        <v>495056.26076014177</v>
      </c>
      <c r="Y148" s="11">
        <v>1041726.8244701418</v>
      </c>
      <c r="Z148" s="11">
        <v>398350.08145456266</v>
      </c>
      <c r="AB148" s="11">
        <v>3112778.7332284218</v>
      </c>
      <c r="AC148">
        <v>1196052.631578947</v>
      </c>
      <c r="AD148">
        <v>498355.2631578946</v>
      </c>
      <c r="AE148">
        <v>199342.10526315786</v>
      </c>
      <c r="AF148" s="11">
        <v>5006528.7332284218</v>
      </c>
      <c r="AG148" s="11">
        <v>1222707.641099775</v>
      </c>
      <c r="AH148" s="11">
        <v>3783821.0921286466</v>
      </c>
      <c r="AI148" s="11">
        <v>3359949.1098807226</v>
      </c>
    </row>
    <row r="149" spans="1:35" x14ac:dyDescent="0.25">
      <c r="A149">
        <v>1643</v>
      </c>
      <c r="B149">
        <v>1997368.421052631</v>
      </c>
      <c r="C149" s="11">
        <v>4050761.2905199998</v>
      </c>
      <c r="D149" s="11">
        <v>651957.31972956681</v>
      </c>
      <c r="E149" s="11">
        <v>327984.4307271312</v>
      </c>
      <c r="F149" s="13">
        <v>0.25852042414188436</v>
      </c>
      <c r="G149" s="11">
        <v>463980.16662194883</v>
      </c>
      <c r="H149" s="14">
        <v>0.56999999999999995</v>
      </c>
      <c r="I149" s="14">
        <v>0.99</v>
      </c>
      <c r="J149" s="14">
        <v>0.1211</v>
      </c>
      <c r="K149" s="12">
        <v>0.56999999999992079</v>
      </c>
      <c r="L149" s="12">
        <v>0.98999999999990307</v>
      </c>
      <c r="M149" s="12">
        <v>0.12110000000000735</v>
      </c>
      <c r="N149" s="10">
        <v>1905138.34044702</v>
      </c>
      <c r="O149" s="15">
        <v>0.31</v>
      </c>
      <c r="P149" s="15">
        <v>0.44</v>
      </c>
      <c r="Q149" s="10"/>
      <c r="R149" s="12">
        <v>0.3099999999999854</v>
      </c>
      <c r="S149" s="12">
        <v>0.4399999999999345</v>
      </c>
      <c r="T149" s="12">
        <v>7.4108219088060298E-2</v>
      </c>
      <c r="U149" s="11">
        <v>3287569.6279995879</v>
      </c>
      <c r="V149" s="11">
        <v>1253181.0207174532</v>
      </c>
      <c r="W149" s="11">
        <v>1456354.1831167345</v>
      </c>
      <c r="X149" s="11">
        <v>541014.2379358965</v>
      </c>
      <c r="Y149" s="11">
        <v>1194315.8468158965</v>
      </c>
      <c r="Z149" s="11">
        <v>298869.96618178074</v>
      </c>
      <c r="AB149" s="11">
        <v>2053392.8694673688</v>
      </c>
      <c r="AC149">
        <v>1198421.0526315786</v>
      </c>
      <c r="AD149">
        <v>499342.10526315775</v>
      </c>
      <c r="AE149">
        <v>199736.84210526312</v>
      </c>
      <c r="AF149" s="11">
        <v>3950892.8694673683</v>
      </c>
      <c r="AG149" s="11">
        <v>1256902.7509306478</v>
      </c>
      <c r="AH149" s="11">
        <v>2693990.1185367205</v>
      </c>
      <c r="AI149" s="11">
        <v>2260358.6694656452</v>
      </c>
    </row>
    <row r="150" spans="1:35" x14ac:dyDescent="0.25">
      <c r="A150">
        <v>1644</v>
      </c>
      <c r="B150">
        <v>2001315.7894736836</v>
      </c>
      <c r="C150" s="11">
        <v>3488073.3171900003</v>
      </c>
      <c r="D150" s="11">
        <v>601870.66205742792</v>
      </c>
      <c r="E150" s="11">
        <v>284406.5549328741</v>
      </c>
      <c r="F150" s="13">
        <v>0.26364679133765612</v>
      </c>
      <c r="G150" s="11">
        <v>421251.67622764793</v>
      </c>
      <c r="K150" s="12">
        <v>0.53473370257571751</v>
      </c>
      <c r="L150" s="12">
        <v>0.93440321543737581</v>
      </c>
      <c r="M150" s="12">
        <v>0.12635483445432405</v>
      </c>
      <c r="N150" s="10">
        <v>1805997.2342559611</v>
      </c>
      <c r="O150" s="10"/>
      <c r="P150" s="10"/>
      <c r="Q150" s="10"/>
      <c r="R150" s="12">
        <v>0.29727787148175927</v>
      </c>
      <c r="S150" s="12">
        <v>0.40226989836095517</v>
      </c>
      <c r="T150" s="12">
        <v>7.5755513610858805E-2</v>
      </c>
      <c r="U150" s="11">
        <v>2617500.7236314751</v>
      </c>
      <c r="V150" s="11">
        <v>1204126.5721985332</v>
      </c>
      <c r="W150" s="11">
        <v>1379768.8958110132</v>
      </c>
      <c r="X150" s="11">
        <v>621546.89366267039</v>
      </c>
      <c r="Y150" s="11">
        <v>1070967.0073066703</v>
      </c>
      <c r="Z150" s="11">
        <v>237954.61123922502</v>
      </c>
      <c r="AB150" s="11">
        <v>1486757.5277163167</v>
      </c>
      <c r="AC150">
        <v>1200789.4736842101</v>
      </c>
      <c r="AD150">
        <v>500328.94736842089</v>
      </c>
      <c r="AE150">
        <v>200131.57894736837</v>
      </c>
      <c r="AF150" s="11">
        <v>3388007.5277163158</v>
      </c>
      <c r="AG150" s="11">
        <v>1291663.9346044117</v>
      </c>
      <c r="AH150" s="11">
        <v>2096343.5931119041</v>
      </c>
      <c r="AI150" s="11">
        <v>1652872.3088977206</v>
      </c>
    </row>
    <row r="151" spans="1:35" x14ac:dyDescent="0.25">
      <c r="A151">
        <v>1645</v>
      </c>
      <c r="B151">
        <v>2005263.1578947362</v>
      </c>
      <c r="C151" s="11">
        <v>4205657.5173399998</v>
      </c>
      <c r="D151" s="11">
        <v>454348.82415403263</v>
      </c>
      <c r="E151" s="11">
        <v>77122.217837654243</v>
      </c>
      <c r="F151" s="13">
        <v>0.23832653505491017</v>
      </c>
      <c r="G151" s="11">
        <v>216926.70523462706</v>
      </c>
      <c r="H151" s="14">
        <v>0.61</v>
      </c>
      <c r="I151" s="14">
        <v>0.99</v>
      </c>
      <c r="J151" s="14">
        <v>0.14779999999999999</v>
      </c>
      <c r="K151" s="12">
        <v>0.61000000000018806</v>
      </c>
      <c r="L151" s="12">
        <v>0.9900000000001683</v>
      </c>
      <c r="M151" s="12">
        <v>0.14780000000000765</v>
      </c>
      <c r="N151" s="10">
        <v>2037162.950283403</v>
      </c>
      <c r="O151" s="15">
        <v>0.39</v>
      </c>
      <c r="P151" s="15">
        <v>0.46</v>
      </c>
      <c r="Q151" s="10"/>
      <c r="R151" s="12">
        <v>0.39000000000015633</v>
      </c>
      <c r="S151" s="12">
        <v>0.46000000000016744</v>
      </c>
      <c r="T151" s="12">
        <v>7.7402808133657325E-2</v>
      </c>
      <c r="U151" s="11">
        <v>3736735.5140013965</v>
      </c>
      <c r="V151" s="11">
        <v>1582814.1261293704</v>
      </c>
      <c r="W151" s="11">
        <v>1449818.8247085579</v>
      </c>
      <c r="X151" s="11">
        <v>555444.33318617824</v>
      </c>
      <c r="Y151" s="11">
        <v>1155838.1919581783</v>
      </c>
      <c r="Z151" s="11">
        <v>339703.22854558151</v>
      </c>
      <c r="AB151" s="11">
        <v>2200394.3594452636</v>
      </c>
      <c r="AC151">
        <v>1203157.8947368416</v>
      </c>
      <c r="AD151">
        <v>501315.78947368404</v>
      </c>
      <c r="AE151">
        <v>200526.31578947362</v>
      </c>
      <c r="AF151" s="11">
        <v>4105394.3594452627</v>
      </c>
      <c r="AG151" s="11">
        <v>1326996.0039832271</v>
      </c>
      <c r="AH151" s="11">
        <v>2778398.3554620356</v>
      </c>
      <c r="AI151" s="11">
        <v>2325008.0541010974</v>
      </c>
    </row>
    <row r="152" spans="1:35" x14ac:dyDescent="0.25">
      <c r="A152">
        <v>1646</v>
      </c>
      <c r="B152">
        <v>2009210.5263157887</v>
      </c>
      <c r="C152">
        <v>2511513.1578947362</v>
      </c>
      <c r="D152" s="11">
        <v>364560.55310638994</v>
      </c>
      <c r="E152" s="11">
        <v>-131277.53151476267</v>
      </c>
      <c r="F152" s="13">
        <v>0.21391717025152487</v>
      </c>
      <c r="G152" s="11">
        <v>16875.920752093371</v>
      </c>
      <c r="H152" s="14">
        <v>0.83</v>
      </c>
      <c r="I152" s="14">
        <v>1.19</v>
      </c>
      <c r="J152" s="14">
        <v>0.1706</v>
      </c>
      <c r="K152" s="12">
        <v>0.82999999999978058</v>
      </c>
      <c r="L152" s="12">
        <v>1.1899999999998083</v>
      </c>
      <c r="M152" s="12">
        <v>0.17059999999998376</v>
      </c>
      <c r="N152" s="10">
        <v>2682458.1021350338</v>
      </c>
      <c r="O152" s="15">
        <v>0.56999999999999995</v>
      </c>
      <c r="P152" s="15">
        <v>0.65</v>
      </c>
      <c r="Q152" s="10"/>
      <c r="R152" s="12">
        <v>0.56999999999978257</v>
      </c>
      <c r="S152" s="12">
        <v>0.64999999999980673</v>
      </c>
      <c r="T152" s="12">
        <v>7.9050102656455831E-2</v>
      </c>
      <c r="U152" s="11">
        <v>3182026.0212544296</v>
      </c>
      <c r="V152" s="11">
        <v>2317897.5490286439</v>
      </c>
      <c r="W152" s="11">
        <v>1472785.2026945436</v>
      </c>
      <c r="X152" s="11">
        <v>536425.3236212451</v>
      </c>
      <c r="Y152" s="11">
        <v>1136819.1823932449</v>
      </c>
      <c r="Z152" s="11">
        <v>289275.09284131177</v>
      </c>
      <c r="AB152" s="11">
        <v>502302.63157894742</v>
      </c>
      <c r="AC152">
        <v>1205526.3157894732</v>
      </c>
      <c r="AD152">
        <v>502302.63157894718</v>
      </c>
      <c r="AE152">
        <v>200921.05263157887</v>
      </c>
      <c r="AF152" s="11">
        <v>2411052.631578947</v>
      </c>
      <c r="AG152" s="11">
        <v>1362903.8082929426</v>
      </c>
      <c r="AH152" s="11">
        <v>1048148.8232860044</v>
      </c>
      <c r="AI152" s="11">
        <v>584761.52846640162</v>
      </c>
    </row>
    <row r="153" spans="1:35" x14ac:dyDescent="0.25">
      <c r="A153">
        <v>1647</v>
      </c>
      <c r="B153">
        <v>2013157.8947368413</v>
      </c>
      <c r="C153">
        <v>2516447.3684210517</v>
      </c>
      <c r="D153" s="11">
        <v>600590.33668046328</v>
      </c>
      <c r="E153" s="11">
        <v>143153.2283910914</v>
      </c>
      <c r="F153" s="13">
        <v>0.21880840676499289</v>
      </c>
      <c r="G153" s="11">
        <v>287002.9052930529</v>
      </c>
      <c r="K153" s="12">
        <v>0.82931428002917051</v>
      </c>
      <c r="L153" s="12">
        <v>1.2063876281765333</v>
      </c>
      <c r="M153" s="12">
        <v>0.169072760803127</v>
      </c>
      <c r="N153" s="10">
        <v>2691173.2125965324</v>
      </c>
      <c r="O153" s="10"/>
      <c r="P153" s="10"/>
      <c r="Q153" s="10"/>
      <c r="R153" s="12">
        <v>0.51309243843309926</v>
      </c>
      <c r="S153" s="12">
        <v>0.65200763294028785</v>
      </c>
      <c r="T153" s="12">
        <v>8.0697397179254338E-2</v>
      </c>
      <c r="U153" s="11">
        <v>3108484.4044761732</v>
      </c>
      <c r="V153" s="11">
        <v>2090582.8759160691</v>
      </c>
      <c r="W153" s="11">
        <v>1283846.1500093138</v>
      </c>
      <c r="X153" s="11">
        <v>729311.74472752749</v>
      </c>
      <c r="Y153" s="11">
        <v>1418469.5637255274</v>
      </c>
      <c r="Z153" s="11">
        <v>282589.49131601572</v>
      </c>
      <c r="AB153" s="11">
        <v>503289.47368421033</v>
      </c>
      <c r="AC153">
        <v>1207894.7368421047</v>
      </c>
      <c r="AD153">
        <v>503289.47368421033</v>
      </c>
      <c r="AE153">
        <v>201315.78947368416</v>
      </c>
      <c r="AF153" s="11">
        <v>2415789.4736842094</v>
      </c>
      <c r="AG153" s="11">
        <v>1399392.2343982314</v>
      </c>
      <c r="AH153" s="11">
        <v>1016397.239285978</v>
      </c>
      <c r="AI153" s="11">
        <v>542936.19998124079</v>
      </c>
    </row>
    <row r="154" spans="1:35" x14ac:dyDescent="0.25">
      <c r="A154">
        <v>1648</v>
      </c>
      <c r="B154">
        <v>2017105.2631578939</v>
      </c>
      <c r="C154">
        <v>2521381.5789473671</v>
      </c>
      <c r="D154" s="11">
        <v>743518.9865255442</v>
      </c>
      <c r="E154" s="11">
        <v>322450.50070685649</v>
      </c>
      <c r="F154" s="13">
        <v>0.23986218449932892</v>
      </c>
      <c r="G154" s="11">
        <v>480199.97688407294</v>
      </c>
      <c r="H154" s="14">
        <v>0.76</v>
      </c>
      <c r="I154" s="14">
        <v>1.1599999999999999</v>
      </c>
      <c r="J154" s="14">
        <v>0.1605</v>
      </c>
      <c r="K154" s="12">
        <v>0.76000000000017165</v>
      </c>
      <c r="L154" s="12">
        <v>1.1600000000001538</v>
      </c>
      <c r="M154" s="12">
        <v>0.1605000000000098</v>
      </c>
      <c r="N154" s="10">
        <v>2498979.0508020194</v>
      </c>
      <c r="O154" s="15">
        <v>0.43</v>
      </c>
      <c r="P154" s="15">
        <v>0.6</v>
      </c>
      <c r="Q154" s="10"/>
      <c r="R154" s="12">
        <v>0.43000000000023259</v>
      </c>
      <c r="S154" s="12">
        <v>0.60000000000015052</v>
      </c>
      <c r="T154" s="12">
        <v>8.2344691702052858E-2</v>
      </c>
      <c r="U154" s="11">
        <v>2801591.7886266597</v>
      </c>
      <c r="V154" s="11">
        <v>1755460.0642764752</v>
      </c>
      <c r="W154" s="11">
        <v>1298274.306707592</v>
      </c>
      <c r="X154" s="11">
        <v>718830.95645030192</v>
      </c>
      <c r="Y154" s="11">
        <v>1152740.201542302</v>
      </c>
      <c r="Z154" s="11">
        <v>254690.16260242357</v>
      </c>
      <c r="AB154" s="11">
        <v>504276.31578947324</v>
      </c>
      <c r="AC154">
        <v>1210263.1578947364</v>
      </c>
      <c r="AD154">
        <v>504276.31578947348</v>
      </c>
      <c r="AE154">
        <v>201710.52631578941</v>
      </c>
      <c r="AF154" s="11">
        <v>2420526.3157894723</v>
      </c>
      <c r="AG154" s="11">
        <v>1436466.2070796851</v>
      </c>
      <c r="AH154" s="11">
        <v>984060.10870978725</v>
      </c>
      <c r="AI154" s="11">
        <v>500449.81899295753</v>
      </c>
    </row>
    <row r="155" spans="1:35" x14ac:dyDescent="0.25">
      <c r="A155">
        <v>1649</v>
      </c>
      <c r="B155">
        <v>2021052.6315789465</v>
      </c>
      <c r="C155">
        <v>2526315.7894736831</v>
      </c>
      <c r="D155" s="11">
        <v>522555.55401744274</v>
      </c>
      <c r="E155" s="11">
        <v>34717.406132667355</v>
      </c>
      <c r="F155" s="13">
        <v>0.22935111474768635</v>
      </c>
      <c r="G155" s="11">
        <v>203500.10812079493</v>
      </c>
      <c r="H155" s="14">
        <v>0.81</v>
      </c>
      <c r="I155" s="14">
        <v>1.2</v>
      </c>
      <c r="J155" s="14">
        <v>0.16700000000000001</v>
      </c>
      <c r="K155" s="12">
        <v>0.8099999999998031</v>
      </c>
      <c r="L155" s="12">
        <v>1.1999999999997517</v>
      </c>
      <c r="M155" s="12">
        <v>0.16700000000000537</v>
      </c>
      <c r="N155" s="10">
        <v>2649591.8599950951</v>
      </c>
      <c r="O155" s="15">
        <v>0.52</v>
      </c>
      <c r="P155" s="15">
        <v>0.66</v>
      </c>
      <c r="Q155" s="10"/>
      <c r="R155" s="12">
        <v>0.5199999999997259</v>
      </c>
      <c r="S155" s="12">
        <v>0.65999999999983527</v>
      </c>
      <c r="T155" s="12">
        <v>8.3991986224851364E-2</v>
      </c>
      <c r="U155" s="11">
        <v>3159876.0507078408</v>
      </c>
      <c r="V155" s="11">
        <v>2127036.3059776523</v>
      </c>
      <c r="X155" s="11"/>
      <c r="Z155" s="11">
        <v>287261.45915525826</v>
      </c>
      <c r="AB155" s="11">
        <v>505263.15789473662</v>
      </c>
      <c r="AC155">
        <v>1212631.5789473678</v>
      </c>
      <c r="AD155">
        <v>505263.15789473662</v>
      </c>
      <c r="AE155">
        <v>202105.26315789466</v>
      </c>
      <c r="AF155" s="11">
        <v>2425263.1578947362</v>
      </c>
      <c r="AG155" s="11">
        <v>1474130.6893128776</v>
      </c>
      <c r="AH155" s="11">
        <v>951132.46858185856</v>
      </c>
      <c r="AI155" s="11">
        <v>457298.6876620421</v>
      </c>
    </row>
    <row r="156" spans="1:35" x14ac:dyDescent="0.25">
      <c r="A156">
        <v>1650</v>
      </c>
      <c r="B156">
        <v>2025000</v>
      </c>
      <c r="C156">
        <v>2531250</v>
      </c>
      <c r="D156" s="11">
        <v>632492.30909321574</v>
      </c>
      <c r="E156" s="11">
        <v>159239.78755059076</v>
      </c>
      <c r="F156" s="13">
        <v>0.23565566980991759</v>
      </c>
      <c r="G156" s="11">
        <v>331256.70424376172</v>
      </c>
      <c r="H156" s="14">
        <v>0.8</v>
      </c>
      <c r="I156" s="14">
        <v>1.2</v>
      </c>
      <c r="J156" s="14">
        <v>0.17730000000000001</v>
      </c>
      <c r="K156" s="12">
        <v>0.80000000000020388</v>
      </c>
      <c r="L156" s="12">
        <v>1.2000000000003375</v>
      </c>
      <c r="M156" s="12">
        <v>0.17729999999999096</v>
      </c>
      <c r="N156" s="10">
        <v>2640729.6747562424</v>
      </c>
      <c r="O156" s="15">
        <v>0.49</v>
      </c>
      <c r="P156" s="15">
        <v>0.67</v>
      </c>
      <c r="Q156" s="10"/>
      <c r="R156" s="12">
        <v>0.49000000000021965</v>
      </c>
      <c r="S156" s="12">
        <v>0.67000000000015902</v>
      </c>
      <c r="T156" s="12">
        <v>8.5639280747649871E-2</v>
      </c>
      <c r="U156" s="11">
        <v>3155801.574612821</v>
      </c>
      <c r="V156" s="11">
        <v>2008237.3656630267</v>
      </c>
      <c r="X156" s="11"/>
      <c r="Z156" s="11">
        <v>286891.05223752919</v>
      </c>
      <c r="AB156" s="11">
        <v>506250</v>
      </c>
      <c r="AC156">
        <v>1215000</v>
      </c>
      <c r="AD156">
        <v>506250</v>
      </c>
      <c r="AE156">
        <v>202500</v>
      </c>
      <c r="AF156" s="11">
        <v>2430000</v>
      </c>
      <c r="AG156" s="11">
        <v>1512390.6825494128</v>
      </c>
      <c r="AH156" s="11">
        <v>917609.31745058717</v>
      </c>
      <c r="AI156" s="11">
        <v>413479.08993411367</v>
      </c>
    </row>
    <row r="157" spans="1:35" x14ac:dyDescent="0.25">
      <c r="A157">
        <v>1651</v>
      </c>
      <c r="B157">
        <v>2227500</v>
      </c>
      <c r="C157">
        <v>2784375</v>
      </c>
      <c r="D157" s="11">
        <v>756828.84191148216</v>
      </c>
      <c r="E157" s="11">
        <v>217567.69722471444</v>
      </c>
      <c r="F157" s="13">
        <v>0.2256896334230081</v>
      </c>
      <c r="G157" s="11">
        <v>398419.94879495475</v>
      </c>
      <c r="H157" s="14">
        <v>0.86</v>
      </c>
      <c r="I157" s="14">
        <v>1.41</v>
      </c>
      <c r="J157" s="14">
        <v>0.16350000000000001</v>
      </c>
      <c r="K157" s="12">
        <v>0.85999999999980825</v>
      </c>
      <c r="L157" s="12">
        <v>1.4099999999997648</v>
      </c>
      <c r="M157" s="12">
        <v>0.16349999999997511</v>
      </c>
      <c r="N157" s="10">
        <v>3146221.4626883315</v>
      </c>
      <c r="O157" s="15">
        <v>0.53</v>
      </c>
      <c r="P157" s="15">
        <v>0.73</v>
      </c>
      <c r="Q157" s="10"/>
      <c r="R157" s="12">
        <v>0.52999999999983549</v>
      </c>
      <c r="S157" s="12">
        <v>0.7299999999998622</v>
      </c>
      <c r="T157" s="12">
        <v>8.7286575270448391E-2</v>
      </c>
      <c r="U157" s="11">
        <v>3775691.1696241456</v>
      </c>
      <c r="V157" s="11">
        <v>2389392.6207768493</v>
      </c>
      <c r="Z157" s="11">
        <v>343244.65178401326</v>
      </c>
      <c r="AB157" s="11">
        <v>556875</v>
      </c>
      <c r="AC157">
        <v>1336500</v>
      </c>
      <c r="AD157">
        <v>556875</v>
      </c>
      <c r="AE157">
        <v>222750</v>
      </c>
      <c r="AF157" s="11">
        <v>2673000</v>
      </c>
      <c r="AG157" s="11">
        <v>1541045.6268223408</v>
      </c>
      <c r="AH157" s="11">
        <v>1131954.3731776592</v>
      </c>
      <c r="AI157" s="11">
        <v>620840.90694824699</v>
      </c>
    </row>
    <row r="158" spans="1:35" x14ac:dyDescent="0.25">
      <c r="A158">
        <v>1652</v>
      </c>
      <c r="B158">
        <v>2430000</v>
      </c>
      <c r="C158">
        <v>3037500</v>
      </c>
      <c r="D158" s="11">
        <v>776450.14066244941</v>
      </c>
      <c r="E158" s="11">
        <v>188462.19281360487</v>
      </c>
      <c r="F158" s="13">
        <v>0.23911025938483485</v>
      </c>
      <c r="G158" s="11">
        <v>407590.21635708312</v>
      </c>
      <c r="H158" s="14">
        <v>0.8</v>
      </c>
      <c r="I158" s="14">
        <v>1.43</v>
      </c>
      <c r="J158" s="14">
        <v>0.13950000000000001</v>
      </c>
      <c r="K158" s="12">
        <v>0.80000000000009674</v>
      </c>
      <c r="L158" s="12">
        <v>1.4299999999999631</v>
      </c>
      <c r="M158" s="12">
        <v>0.13950000000005561</v>
      </c>
      <c r="N158" s="10">
        <v>3235516.3026982248</v>
      </c>
      <c r="O158" s="15">
        <v>0.5</v>
      </c>
      <c r="P158" s="15">
        <v>0.69</v>
      </c>
      <c r="Q158" s="10"/>
      <c r="R158" s="12">
        <v>0.50000000000010536</v>
      </c>
      <c r="S158" s="12">
        <v>0.69000000000004535</v>
      </c>
      <c r="T158" s="12">
        <v>8.8933869793246911E-2</v>
      </c>
      <c r="U158" s="11">
        <v>3891472.2014211835</v>
      </c>
      <c r="V158" s="11">
        <v>2459066.1620357754</v>
      </c>
      <c r="Z158" s="11">
        <v>353770.20012919849</v>
      </c>
      <c r="AB158" s="11">
        <v>607500</v>
      </c>
      <c r="AC158">
        <v>1458000</v>
      </c>
      <c r="AD158">
        <v>607500</v>
      </c>
      <c r="AE158">
        <v>243000</v>
      </c>
      <c r="AF158" s="11">
        <v>2916000</v>
      </c>
      <c r="AG158" s="11">
        <v>1546650.3533465427</v>
      </c>
      <c r="AH158" s="11">
        <v>1369349.6466534573</v>
      </c>
      <c r="AI158" s="11">
        <v>858955.03004909551</v>
      </c>
    </row>
    <row r="159" spans="1:35" x14ac:dyDescent="0.25">
      <c r="A159">
        <v>1653</v>
      </c>
      <c r="B159">
        <v>2632500</v>
      </c>
      <c r="C159">
        <v>3290625</v>
      </c>
      <c r="D159" s="11">
        <v>701960.92817125656</v>
      </c>
      <c r="E159" s="11">
        <v>54817.269859777269</v>
      </c>
      <c r="F159" s="13">
        <v>0.23815966343418146</v>
      </c>
      <c r="G159" s="11">
        <v>294370.71181394765</v>
      </c>
      <c r="H159" s="14">
        <v>0.78</v>
      </c>
      <c r="I159" s="14">
        <v>1.34</v>
      </c>
      <c r="J159" s="14">
        <v>0.159</v>
      </c>
      <c r="K159" s="12">
        <v>0.78000000000000502</v>
      </c>
      <c r="L159" s="12">
        <v>1.3400000000001557</v>
      </c>
      <c r="M159" s="12">
        <v>0.15899999999995806</v>
      </c>
      <c r="N159" s="10">
        <v>3419229.0372199826</v>
      </c>
      <c r="O159" s="15">
        <v>0.51</v>
      </c>
      <c r="P159" s="15">
        <v>0.66</v>
      </c>
      <c r="Q159" s="10"/>
      <c r="R159" s="12">
        <v>0.50999999999995627</v>
      </c>
      <c r="S159" s="12">
        <v>0.660000000000036</v>
      </c>
      <c r="T159" s="12">
        <v>9.0581164316045418E-2</v>
      </c>
      <c r="U159" s="11">
        <v>4095882.0761400545</v>
      </c>
      <c r="V159" s="11">
        <v>2717268.109048726</v>
      </c>
      <c r="Z159" s="11">
        <v>372352.91601273225</v>
      </c>
      <c r="AB159" s="11">
        <v>658125</v>
      </c>
      <c r="AC159">
        <v>1579500</v>
      </c>
      <c r="AD159">
        <v>658125</v>
      </c>
      <c r="AE159">
        <v>263250</v>
      </c>
      <c r="AF159" s="11">
        <v>3159000</v>
      </c>
      <c r="AG159" s="11">
        <v>1552236.6391453766</v>
      </c>
      <c r="AH159" s="11">
        <v>1606763.3608546234</v>
      </c>
      <c r="AI159" s="11">
        <v>1097112.3310018887</v>
      </c>
    </row>
    <row r="160" spans="1:35" x14ac:dyDescent="0.25">
      <c r="A160">
        <v>1654</v>
      </c>
      <c r="B160">
        <v>2835000</v>
      </c>
      <c r="C160">
        <v>3543750</v>
      </c>
      <c r="D160" s="11">
        <v>887927.80667476589</v>
      </c>
      <c r="E160" s="11">
        <v>190104.11767214024</v>
      </c>
      <c r="F160" s="13">
        <v>0.2384671345570441</v>
      </c>
      <c r="G160" s="11">
        <v>448984.49675146613</v>
      </c>
      <c r="H160" s="14">
        <v>0.81</v>
      </c>
      <c r="I160" s="14">
        <v>1.39</v>
      </c>
      <c r="J160" s="14">
        <v>0.159</v>
      </c>
      <c r="K160" s="12">
        <v>0.80999999999998096</v>
      </c>
      <c r="L160" s="12">
        <v>1.3899999999999304</v>
      </c>
      <c r="M160" s="12">
        <v>0.15900000000001174</v>
      </c>
      <c r="N160" s="10">
        <v>3814216.5394967645</v>
      </c>
      <c r="O160" s="15">
        <v>0.51</v>
      </c>
      <c r="P160" s="15">
        <v>0.69</v>
      </c>
      <c r="Q160" s="10"/>
      <c r="R160" s="12">
        <v>0.51000000000000745</v>
      </c>
      <c r="S160" s="12">
        <v>0.68999999999997219</v>
      </c>
      <c r="T160" s="12">
        <v>9.2228458838843924E-2</v>
      </c>
      <c r="U160" s="11">
        <v>4561567.7305752775</v>
      </c>
      <c r="V160" s="11">
        <v>2926288.7328219987</v>
      </c>
      <c r="Z160" s="11">
        <v>414687.97550684342</v>
      </c>
      <c r="AB160" s="11">
        <v>708750</v>
      </c>
      <c r="AC160">
        <v>1701000</v>
      </c>
      <c r="AD160">
        <v>708750</v>
      </c>
      <c r="AE160">
        <v>283500</v>
      </c>
      <c r="AF160" s="11">
        <v>3402000</v>
      </c>
      <c r="AG160" s="11">
        <v>1557804.9244883265</v>
      </c>
      <c r="AH160" s="11">
        <v>1844195.0755116735</v>
      </c>
      <c r="AI160" s="11">
        <v>1335312.1335121507</v>
      </c>
    </row>
    <row r="161" spans="1:35" x14ac:dyDescent="0.25">
      <c r="A161">
        <v>1655</v>
      </c>
      <c r="B161">
        <v>3037500</v>
      </c>
      <c r="C161">
        <v>3796875</v>
      </c>
      <c r="D161" s="11">
        <v>1116591.1811602884</v>
      </c>
      <c r="E161" s="11">
        <v>414288.84949657676</v>
      </c>
      <c r="F161" s="13">
        <v>0.23002485963969782</v>
      </c>
      <c r="G161" s="11">
        <v>658617.42165200878</v>
      </c>
      <c r="K161" s="12">
        <v>0.82670868076223136</v>
      </c>
      <c r="L161" s="12">
        <v>1.4427838733079477</v>
      </c>
      <c r="M161" s="12">
        <v>0.15184776524027946</v>
      </c>
      <c r="N161" s="10">
        <v>4169749.577882153</v>
      </c>
      <c r="O161" s="10"/>
      <c r="P161" s="10"/>
      <c r="Q161" s="10"/>
      <c r="R161" s="12">
        <v>0.49663704764981265</v>
      </c>
      <c r="S161" s="12">
        <v>0.70873044396207829</v>
      </c>
      <c r="T161" s="12">
        <v>9.3875753361642444E-2</v>
      </c>
      <c r="U161" s="11">
        <v>4957342.3266643239</v>
      </c>
      <c r="V161" s="11">
        <v>3053158.3967218646</v>
      </c>
      <c r="Z161" s="11">
        <v>450667.48424221127</v>
      </c>
      <c r="AB161" s="11">
        <v>759375</v>
      </c>
      <c r="AC161">
        <v>1822500</v>
      </c>
      <c r="AD161">
        <v>759375</v>
      </c>
      <c r="AE161">
        <v>303750</v>
      </c>
      <c r="AF161" s="11">
        <v>3645000</v>
      </c>
      <c r="AG161" s="11">
        <v>1563355.6431644987</v>
      </c>
      <c r="AH161" s="11">
        <v>2081644.3568355013</v>
      </c>
      <c r="AI161" s="11">
        <v>1573553.7728070365</v>
      </c>
    </row>
    <row r="162" spans="1:35" x14ac:dyDescent="0.25">
      <c r="A162">
        <v>1656</v>
      </c>
      <c r="B162">
        <v>3240000</v>
      </c>
      <c r="C162">
        <v>4050000</v>
      </c>
      <c r="D162" s="11">
        <v>1291259.1126757441</v>
      </c>
      <c r="E162" s="11">
        <v>563404.19821406307</v>
      </c>
      <c r="F162" s="13">
        <v>0.23260494302522683</v>
      </c>
      <c r="G162" s="11">
        <v>821887.15630501742</v>
      </c>
      <c r="K162" s="12">
        <v>0.82032673497861963</v>
      </c>
      <c r="L162" s="12">
        <v>1.4537193460852471</v>
      </c>
      <c r="M162" s="12">
        <v>0.14612087268310844</v>
      </c>
      <c r="N162" s="10">
        <v>4420405.4884805894</v>
      </c>
      <c r="O162" s="10"/>
      <c r="P162" s="10"/>
      <c r="Q162" s="10"/>
      <c r="R162" s="12">
        <v>0.47718516445105424</v>
      </c>
      <c r="S162" s="12">
        <v>0.7011745245446972</v>
      </c>
      <c r="T162" s="12">
        <v>9.5523047884440951E-2</v>
      </c>
      <c r="U162" s="11">
        <v>5196643.833901207</v>
      </c>
      <c r="V162" s="11">
        <v>3129146.3758048452</v>
      </c>
      <c r="Z162" s="11">
        <v>472422.16671829158</v>
      </c>
      <c r="AB162" s="11">
        <v>810000</v>
      </c>
      <c r="AC162">
        <v>1944000</v>
      </c>
      <c r="AD162">
        <v>810000</v>
      </c>
      <c r="AE162">
        <v>324000</v>
      </c>
      <c r="AF162" s="11">
        <v>3888000</v>
      </c>
      <c r="AG162" s="11">
        <v>1568889.222564057</v>
      </c>
      <c r="AH162" s="11">
        <v>2319110.777435943</v>
      </c>
      <c r="AI162" s="11">
        <v>1811836.5954735619</v>
      </c>
    </row>
    <row r="163" spans="1:35" x14ac:dyDescent="0.25">
      <c r="A163">
        <v>1657</v>
      </c>
      <c r="B163">
        <v>3442500</v>
      </c>
      <c r="C163">
        <v>4303125</v>
      </c>
      <c r="D163" s="11">
        <v>1409471.1906815879</v>
      </c>
      <c r="E163" s="11">
        <v>662657.01416007418</v>
      </c>
      <c r="F163" s="13">
        <v>0.23642177391961655</v>
      </c>
      <c r="G163" s="11">
        <v>935647.96949082485</v>
      </c>
      <c r="K163" s="12">
        <v>0.79537075754032349</v>
      </c>
      <c r="L163" s="12">
        <v>1.4305175790885136</v>
      </c>
      <c r="M163" s="12">
        <v>0.14158750523251579</v>
      </c>
      <c r="N163" s="10">
        <v>4568292.6652866751</v>
      </c>
      <c r="O163" s="10"/>
      <c r="P163" s="10"/>
      <c r="Q163" s="10"/>
      <c r="R163" s="12">
        <v>0.45337461216779301</v>
      </c>
      <c r="S163" s="12">
        <v>0.67312875768496172</v>
      </c>
      <c r="T163" s="12">
        <v>9.7170342407239457E-2</v>
      </c>
      <c r="U163" s="11">
        <v>5288243.6766267903</v>
      </c>
      <c r="V163" s="11">
        <v>3158821.4746050872</v>
      </c>
      <c r="Z163" s="11">
        <v>480749.42514789</v>
      </c>
      <c r="AB163" s="11">
        <v>860625</v>
      </c>
      <c r="AC163">
        <v>2065500</v>
      </c>
      <c r="AD163">
        <v>860625</v>
      </c>
      <c r="AE163">
        <v>344250</v>
      </c>
      <c r="AF163" s="11">
        <v>4131000</v>
      </c>
      <c r="AG163" s="11">
        <v>1598232.3819885403</v>
      </c>
      <c r="AH163" s="11">
        <v>2532767.6180114597</v>
      </c>
      <c r="AI163" s="11">
        <v>2018669.5351384764</v>
      </c>
    </row>
    <row r="164" spans="1:35" x14ac:dyDescent="0.25">
      <c r="A164">
        <v>1658</v>
      </c>
      <c r="B164">
        <v>3645000</v>
      </c>
      <c r="C164">
        <v>4556250</v>
      </c>
      <c r="D164" s="11">
        <v>1471542.2361701285</v>
      </c>
      <c r="E164" s="11">
        <v>712352.94431035244</v>
      </c>
      <c r="F164" s="13">
        <v>0.24104392029097693</v>
      </c>
      <c r="G164" s="11">
        <v>999103.87870607071</v>
      </c>
      <c r="K164" s="12">
        <v>0.75635734333852034</v>
      </c>
      <c r="L164" s="12">
        <v>1.3808897330744323</v>
      </c>
      <c r="M164" s="12">
        <v>0.1380158457925186</v>
      </c>
      <c r="N164" s="10">
        <v>4621131.2859305134</v>
      </c>
      <c r="O164" s="10"/>
      <c r="P164" s="10"/>
      <c r="Q164" s="10"/>
      <c r="R164" s="12">
        <v>0.42693565256409011</v>
      </c>
      <c r="S164" s="12">
        <v>0.63038965932000424</v>
      </c>
      <c r="T164" s="12">
        <v>9.8817636930037978E-2</v>
      </c>
      <c r="U164" s="11">
        <v>5250291.8290033778</v>
      </c>
      <c r="V164" s="11">
        <v>3149589.049760385</v>
      </c>
      <c r="Z164" s="11">
        <v>477299.25718212523</v>
      </c>
      <c r="AB164" s="11">
        <v>911250</v>
      </c>
      <c r="AC164">
        <v>2187000</v>
      </c>
      <c r="AD164">
        <v>911250</v>
      </c>
      <c r="AE164">
        <v>364500</v>
      </c>
      <c r="AF164" s="11">
        <v>4374000</v>
      </c>
      <c r="AG164" s="11">
        <v>1627937.6793141053</v>
      </c>
      <c r="AH164" s="11">
        <v>2746062.3206858947</v>
      </c>
      <c r="AI164" s="11">
        <v>2225122.2633053781</v>
      </c>
    </row>
    <row r="165" spans="1:35" x14ac:dyDescent="0.25">
      <c r="A165">
        <v>1659</v>
      </c>
      <c r="B165">
        <v>3847500</v>
      </c>
      <c r="C165">
        <v>4809375</v>
      </c>
      <c r="D165" s="11">
        <v>1480562.301665544</v>
      </c>
      <c r="E165" s="11">
        <v>708746.08318017889</v>
      </c>
      <c r="F165" s="13">
        <v>0.24803755128705593</v>
      </c>
      <c r="G165" s="11">
        <v>1013808.6501637181</v>
      </c>
      <c r="K165" s="12">
        <v>0.70780308726438734</v>
      </c>
      <c r="L165" s="12">
        <v>1.3125469687996878</v>
      </c>
      <c r="M165" s="12">
        <v>0.13517407726713396</v>
      </c>
      <c r="N165" s="10">
        <v>4592253.3116777167</v>
      </c>
      <c r="O165" s="10"/>
      <c r="P165" s="10"/>
      <c r="Q165" s="10"/>
      <c r="R165" s="12">
        <v>0.3995985474040063</v>
      </c>
      <c r="S165" s="12">
        <v>0.57875374538695679</v>
      </c>
      <c r="T165" s="12">
        <v>0.10046493145283648</v>
      </c>
      <c r="U165" s="11">
        <v>5110316.8150147134</v>
      </c>
      <c r="V165" s="11">
        <v>3111691.0100121726</v>
      </c>
      <c r="Z165" s="11">
        <v>464574.25591042847</v>
      </c>
      <c r="AB165" s="11">
        <v>961875</v>
      </c>
      <c r="AC165">
        <v>2308500</v>
      </c>
      <c r="AD165">
        <v>961875</v>
      </c>
      <c r="AE165">
        <v>384750</v>
      </c>
      <c r="AF165" s="11">
        <v>4617000</v>
      </c>
      <c r="AG165" s="11">
        <v>1658008.0288418252</v>
      </c>
      <c r="AH165" s="11">
        <v>2958991.9711581748</v>
      </c>
      <c r="AI165" s="11">
        <v>2431192.748643524</v>
      </c>
    </row>
    <row r="166" spans="1:35" x14ac:dyDescent="0.25">
      <c r="A166">
        <v>1660</v>
      </c>
      <c r="B166">
        <v>4050000</v>
      </c>
      <c r="C166">
        <v>5062500</v>
      </c>
      <c r="D166" s="11">
        <v>1442396.6712238723</v>
      </c>
      <c r="E166" s="11">
        <v>670793.24206400162</v>
      </c>
      <c r="F166" s="13">
        <v>0.25230591906899125</v>
      </c>
      <c r="G166" s="11">
        <v>983665.79879304301</v>
      </c>
      <c r="K166" s="12">
        <v>0.65422458420910212</v>
      </c>
      <c r="L166" s="12">
        <v>1.233200447020965</v>
      </c>
      <c r="M166" s="12">
        <v>0.13283038256037896</v>
      </c>
      <c r="N166" s="10">
        <v>4500602.4874294018</v>
      </c>
      <c r="O166" s="10"/>
      <c r="P166" s="10"/>
      <c r="Q166" s="10"/>
      <c r="R166" s="12">
        <v>0.37309355845160247</v>
      </c>
      <c r="S166" s="12">
        <v>0.52401753182295208</v>
      </c>
      <c r="T166" s="12">
        <v>0.10211222597563499</v>
      </c>
      <c r="U166" s="11">
        <v>4905225.7084659841</v>
      </c>
      <c r="V166" s="11">
        <v>3058205.8162055295</v>
      </c>
      <c r="Z166" s="11">
        <v>445929.60986054398</v>
      </c>
      <c r="AB166" s="11">
        <v>1012500</v>
      </c>
      <c r="AC166">
        <v>2430000</v>
      </c>
      <c r="AD166">
        <v>1012500</v>
      </c>
      <c r="AE166">
        <v>405000</v>
      </c>
      <c r="AF166" s="11">
        <v>4860000</v>
      </c>
      <c r="AG166" s="11">
        <v>1688446.3668074226</v>
      </c>
      <c r="AH166" s="11">
        <v>3171553.6331925774</v>
      </c>
      <c r="AI166" s="11">
        <v>2636878.9503702237</v>
      </c>
    </row>
    <row r="167" spans="1:35" x14ac:dyDescent="0.25">
      <c r="A167">
        <v>1661</v>
      </c>
      <c r="B167">
        <v>4500000</v>
      </c>
      <c r="C167">
        <v>5625000</v>
      </c>
      <c r="D167" s="11">
        <v>1445170.2226804378</v>
      </c>
      <c r="E167" s="11">
        <v>629465.74993516121</v>
      </c>
      <c r="F167" s="13">
        <v>0.25651523812141386</v>
      </c>
      <c r="G167" s="11">
        <v>968178.40025358426</v>
      </c>
      <c r="K167" s="12">
        <v>0.60013842906384185</v>
      </c>
      <c r="L167" s="12">
        <v>1.1505613284949485</v>
      </c>
      <c r="M167" s="12">
        <v>0.13075294457627074</v>
      </c>
      <c r="N167" s="10">
        <v>4625115.7055261284</v>
      </c>
      <c r="O167" s="10"/>
      <c r="P167" s="10"/>
      <c r="Q167" s="10"/>
      <c r="R167" s="12">
        <v>0.34915094747093939</v>
      </c>
      <c r="S167" s="12">
        <v>0.47197753456512248</v>
      </c>
      <c r="T167" s="12">
        <v>0.10375952049843351</v>
      </c>
      <c r="U167" s="11">
        <v>4953760.987284462</v>
      </c>
      <c r="V167" s="11">
        <v>3179945.4828456906</v>
      </c>
      <c r="Z167" s="11">
        <v>450341.90793495107</v>
      </c>
      <c r="AB167" s="11">
        <v>1125000</v>
      </c>
      <c r="AC167">
        <v>2700000</v>
      </c>
      <c r="AD167">
        <v>1125000</v>
      </c>
      <c r="AE167">
        <v>450000</v>
      </c>
      <c r="AF167" s="11">
        <v>5400000</v>
      </c>
      <c r="AG167" s="11">
        <v>1719255.6515395688</v>
      </c>
      <c r="AH167" s="11">
        <v>3680744.3484604312</v>
      </c>
      <c r="AI167" s="11">
        <v>3139178.8182254639</v>
      </c>
    </row>
    <row r="168" spans="1:35" x14ac:dyDescent="0.25">
      <c r="A168">
        <v>1662</v>
      </c>
      <c r="B168">
        <v>4500000</v>
      </c>
      <c r="C168">
        <v>5625000</v>
      </c>
      <c r="D168" s="11">
        <v>1274591.5317300293</v>
      </c>
      <c r="E168" s="11">
        <v>490940.39264027803</v>
      </c>
      <c r="F168" s="13">
        <v>0.26113171077843095</v>
      </c>
      <c r="G168" s="11">
        <v>824444.47562162217</v>
      </c>
      <c r="K168" s="12">
        <v>0.55006121671978403</v>
      </c>
      <c r="L168" s="12">
        <v>1.0723407739783239</v>
      </c>
      <c r="M168" s="12">
        <v>0.12870994621882637</v>
      </c>
      <c r="N168" s="10">
        <v>4275571.9057860766</v>
      </c>
      <c r="O168" s="10"/>
      <c r="P168" s="10"/>
      <c r="Q168" s="10"/>
      <c r="R168" s="12">
        <v>0.32950097622607827</v>
      </c>
      <c r="S168" s="12">
        <v>0.4284302695506006</v>
      </c>
      <c r="T168" s="12">
        <v>0.10540681502123202</v>
      </c>
      <c r="U168" s="11">
        <v>4539612.3858750369</v>
      </c>
      <c r="V168" s="11">
        <v>3000980.3740560473</v>
      </c>
      <c r="Z168" s="11">
        <v>412692.03507954883</v>
      </c>
      <c r="AB168" s="11">
        <v>1125000</v>
      </c>
      <c r="AC168">
        <v>2700000</v>
      </c>
      <c r="AD168">
        <v>1125000</v>
      </c>
      <c r="AE168">
        <v>450000</v>
      </c>
      <c r="AF168" s="11">
        <v>5400000</v>
      </c>
      <c r="AG168" s="11">
        <v>1750438.8636192956</v>
      </c>
      <c r="AH168" s="11">
        <v>3649561.1363807041</v>
      </c>
      <c r="AI168" s="11">
        <v>3101090.2924466548</v>
      </c>
    </row>
    <row r="169" spans="1:35" x14ac:dyDescent="0.25">
      <c r="A169">
        <v>1663</v>
      </c>
      <c r="B169">
        <v>4500000</v>
      </c>
      <c r="C169">
        <v>5625000</v>
      </c>
      <c r="D169" s="11">
        <v>1106344.8481300916</v>
      </c>
      <c r="E169" s="11">
        <v>353773.95015049132</v>
      </c>
      <c r="F169" s="13">
        <v>0.26159366292364578</v>
      </c>
      <c r="G169" s="11">
        <v>674814.38429814018</v>
      </c>
      <c r="K169" s="12">
        <v>0.50850954206810606</v>
      </c>
      <c r="L169" s="12">
        <v>1.0062499442277755</v>
      </c>
      <c r="M169" s="12">
        <v>0.12646957039206294</v>
      </c>
      <c r="N169" s="10">
        <v>3983214.607009768</v>
      </c>
      <c r="O169" s="10"/>
      <c r="P169" s="10"/>
      <c r="Q169" s="10"/>
      <c r="R169" s="12">
        <v>0.31587390648107982</v>
      </c>
      <c r="S169" s="12">
        <v>0.39917225271651863</v>
      </c>
      <c r="T169" s="12">
        <v>0.10705410954403052</v>
      </c>
      <c r="U169" s="11">
        <v>4259908.037519712</v>
      </c>
      <c r="V169" s="11">
        <v>2876869.7588796765</v>
      </c>
      <c r="Z169" s="11">
        <v>387264.36704724655</v>
      </c>
      <c r="AB169" s="11">
        <v>1125000</v>
      </c>
      <c r="AC169">
        <v>2700000</v>
      </c>
      <c r="AD169">
        <v>1125000</v>
      </c>
      <c r="AE169">
        <v>450000</v>
      </c>
      <c r="AF169" s="11">
        <v>5400000</v>
      </c>
      <c r="AG169" s="11">
        <v>1764280.8909801187</v>
      </c>
      <c r="AH169" s="11">
        <v>3635719.1090198811</v>
      </c>
      <c r="AI169" s="11">
        <v>3085851.5646644076</v>
      </c>
    </row>
    <row r="170" spans="1:35" x14ac:dyDescent="0.25">
      <c r="A170">
        <v>1664</v>
      </c>
      <c r="B170">
        <v>4500000</v>
      </c>
      <c r="C170">
        <v>5625000</v>
      </c>
      <c r="D170" s="11">
        <v>955848.12483541667</v>
      </c>
      <c r="E170" s="11">
        <v>211538.83451717411</v>
      </c>
      <c r="F170" s="13">
        <v>0.26362421308482775</v>
      </c>
      <c r="G170" s="11">
        <v>532342.28581822698</v>
      </c>
      <c r="H170" s="14">
        <v>0.48</v>
      </c>
      <c r="I170" s="14">
        <v>0.96</v>
      </c>
      <c r="J170" s="14">
        <v>0.12379999999999999</v>
      </c>
      <c r="K170" s="12">
        <v>0.47999999999998538</v>
      </c>
      <c r="L170" s="12">
        <v>0.95999999999998842</v>
      </c>
      <c r="M170" s="12">
        <v>0.12379999999999755</v>
      </c>
      <c r="N170" s="10">
        <v>3779220.3849500148</v>
      </c>
      <c r="O170" s="15">
        <v>0.31</v>
      </c>
      <c r="P170" s="15">
        <v>0.39</v>
      </c>
      <c r="Q170" s="10"/>
      <c r="R170" s="12">
        <v>0.31000000000000483</v>
      </c>
      <c r="S170" s="12">
        <v>0.39000000000000895</v>
      </c>
      <c r="T170" s="12">
        <v>0.10870140406682904</v>
      </c>
      <c r="U170" s="11">
        <v>4166750.9967820505</v>
      </c>
      <c r="V170" s="11">
        <v>2823372.2601145981</v>
      </c>
      <c r="Z170" s="11">
        <v>378795.54516200454</v>
      </c>
      <c r="AB170" s="11">
        <v>1125000</v>
      </c>
      <c r="AC170">
        <v>2700000</v>
      </c>
      <c r="AD170">
        <v>1125000</v>
      </c>
      <c r="AE170">
        <v>450000</v>
      </c>
      <c r="AF170" s="11">
        <v>5400000</v>
      </c>
      <c r="AG170" s="11">
        <v>1778147.7750447192</v>
      </c>
      <c r="AH170" s="11">
        <v>3621852.2249552808</v>
      </c>
      <c r="AI170" s="11">
        <v>3070626.4146914147</v>
      </c>
    </row>
    <row r="171" spans="1:35" x14ac:dyDescent="0.25">
      <c r="A171">
        <v>1665</v>
      </c>
      <c r="B171">
        <v>4500000</v>
      </c>
      <c r="C171">
        <v>5625000</v>
      </c>
      <c r="D171" s="11">
        <v>943325.10271457396</v>
      </c>
      <c r="E171" s="11">
        <v>199889.97205664459</v>
      </c>
      <c r="F171" s="13">
        <v>0.26331459763927045</v>
      </c>
      <c r="G171" s="11">
        <v>519819.26369739772</v>
      </c>
      <c r="H171" s="14">
        <v>0.48</v>
      </c>
      <c r="I171" s="14">
        <v>0.95</v>
      </c>
      <c r="J171" s="14">
        <v>0.12230000000000001</v>
      </c>
      <c r="K171" s="12">
        <v>0.48000000000006365</v>
      </c>
      <c r="L171" s="12">
        <v>0.95000000000006335</v>
      </c>
      <c r="M171" s="12">
        <v>0.12230000000001852</v>
      </c>
      <c r="N171" s="10">
        <v>3766697.3628290822</v>
      </c>
      <c r="O171" s="15">
        <v>0.31</v>
      </c>
      <c r="P171" s="15">
        <v>0.4</v>
      </c>
      <c r="Q171" s="10"/>
      <c r="R171" s="12">
        <v>0.30999999999999495</v>
      </c>
      <c r="S171" s="12">
        <v>0.39999999999999292</v>
      </c>
      <c r="T171" s="12">
        <v>0.11034869858962755</v>
      </c>
      <c r="U171" s="11">
        <v>4246442.9557367349</v>
      </c>
      <c r="V171" s="11">
        <v>2823372.2601145082</v>
      </c>
      <c r="Z171" s="11">
        <v>386040.26870333951</v>
      </c>
      <c r="AB171" s="11">
        <v>1125000</v>
      </c>
      <c r="AC171">
        <v>2700000</v>
      </c>
      <c r="AD171">
        <v>1125000</v>
      </c>
      <c r="AE171">
        <v>450000</v>
      </c>
      <c r="AF171" s="11">
        <v>5400000</v>
      </c>
      <c r="AG171" s="11">
        <v>1783040.7191584015</v>
      </c>
      <c r="AH171" s="11">
        <v>3616959.2808415983</v>
      </c>
      <c r="AI171" s="11">
        <v>3067188.392434421</v>
      </c>
    </row>
    <row r="172" spans="1:35" x14ac:dyDescent="0.25">
      <c r="A172">
        <v>1666</v>
      </c>
      <c r="B172">
        <v>4216666.666666667</v>
      </c>
      <c r="C172">
        <v>5270833.333333334</v>
      </c>
      <c r="D172" s="11">
        <v>1159675.6664267308</v>
      </c>
      <c r="E172" s="11">
        <v>474690.1695162899</v>
      </c>
      <c r="F172" s="13">
        <v>0.26457786700310493</v>
      </c>
      <c r="G172" s="11">
        <v>771329.40866753459</v>
      </c>
      <c r="H172" s="14">
        <v>0.52</v>
      </c>
      <c r="I172" s="14">
        <v>0.98</v>
      </c>
      <c r="J172" s="14">
        <v>0.11700000000000001</v>
      </c>
      <c r="K172" s="12">
        <v>0.51999999999992175</v>
      </c>
      <c r="L172" s="12">
        <v>0.97999999999992349</v>
      </c>
      <c r="M172" s="12">
        <v>0.11699999999995761</v>
      </c>
      <c r="N172" s="10">
        <v>3748650.7181547061</v>
      </c>
      <c r="O172" s="10"/>
      <c r="P172" s="10"/>
      <c r="Q172" s="10"/>
      <c r="R172" s="12">
        <v>0.30336443082409692</v>
      </c>
      <c r="S172" s="12">
        <v>0.4067381657327922</v>
      </c>
      <c r="T172" s="12">
        <v>0.11199599311242606</v>
      </c>
      <c r="U172" s="11">
        <v>4008155.1206437787</v>
      </c>
      <c r="V172" s="11">
        <v>2588975.0517279753</v>
      </c>
      <c r="Z172" s="11">
        <v>364377.73824034352</v>
      </c>
      <c r="AB172" s="11">
        <v>1054166.666666667</v>
      </c>
      <c r="AC172">
        <v>2530000</v>
      </c>
      <c r="AD172">
        <v>1054166.6666666667</v>
      </c>
      <c r="AE172">
        <v>421666.66666666674</v>
      </c>
      <c r="AF172" s="11">
        <v>5060000.0000000009</v>
      </c>
      <c r="AG172" s="11">
        <v>1787915.957075926</v>
      </c>
      <c r="AH172" s="11">
        <v>3272084.0429240749</v>
      </c>
      <c r="AI172" s="11">
        <v>2723789.8160874541</v>
      </c>
    </row>
    <row r="173" spans="1:35" x14ac:dyDescent="0.25">
      <c r="A173">
        <v>1667</v>
      </c>
      <c r="B173">
        <v>3933333.3333333335</v>
      </c>
      <c r="C173">
        <v>4916666.666666667</v>
      </c>
      <c r="D173" s="11">
        <v>939722.52668653615</v>
      </c>
      <c r="E173" s="11">
        <v>323346.75906502921</v>
      </c>
      <c r="F173" s="13">
        <v>0.26772195665974236</v>
      </c>
      <c r="G173" s="11">
        <v>594377.80301588029</v>
      </c>
      <c r="H173" s="14">
        <v>0.49</v>
      </c>
      <c r="I173" s="14">
        <v>0.93</v>
      </c>
      <c r="J173" s="14">
        <v>8.1000000000000003E-2</v>
      </c>
      <c r="K173" s="12">
        <v>0.49000000000002941</v>
      </c>
      <c r="L173" s="12">
        <v>0.93000000000002259</v>
      </c>
      <c r="M173" s="12">
        <v>8.1000000000035211E-2</v>
      </c>
      <c r="N173" s="10">
        <v>3242020.6844909089</v>
      </c>
      <c r="O173" s="10"/>
      <c r="P173" s="10"/>
      <c r="Q173" s="10"/>
      <c r="R173" s="12">
        <v>0.28920571952277008</v>
      </c>
      <c r="S173" s="12">
        <v>0.40234851795749921</v>
      </c>
      <c r="T173" s="12">
        <v>0.11364328763522458</v>
      </c>
      <c r="U173" s="11">
        <v>3665987.8138257111</v>
      </c>
      <c r="V173" s="11">
        <v>2302298.1578043727</v>
      </c>
      <c r="Z173" s="11">
        <v>333271.61943870102</v>
      </c>
      <c r="AB173" s="11">
        <v>983333.33333333349</v>
      </c>
      <c r="AC173">
        <v>2360000</v>
      </c>
      <c r="AD173">
        <v>983333.33333333337</v>
      </c>
      <c r="AE173">
        <v>393333.33333333337</v>
      </c>
      <c r="AF173" s="11">
        <v>4720000</v>
      </c>
      <c r="AG173" s="11">
        <v>1801821.3677979701</v>
      </c>
      <c r="AH173" s="11">
        <v>2918178.6322020302</v>
      </c>
      <c r="AI173" s="11">
        <v>2368623.1150236456</v>
      </c>
    </row>
    <row r="174" spans="1:35" x14ac:dyDescent="0.25">
      <c r="A174">
        <v>1668</v>
      </c>
      <c r="B174">
        <v>3650000</v>
      </c>
      <c r="C174">
        <v>4562500</v>
      </c>
      <c r="D174" s="11">
        <v>735552.77847798332</v>
      </c>
      <c r="E174" s="11">
        <v>191879.234988079</v>
      </c>
      <c r="F174" s="13">
        <v>0.27212836368952781</v>
      </c>
      <c r="G174" s="11">
        <v>435874.23553665471</v>
      </c>
      <c r="K174" s="12">
        <v>0.44488408350534958</v>
      </c>
      <c r="L174" s="12">
        <v>0.84506424986357453</v>
      </c>
      <c r="M174" s="12">
        <v>7.4307748077231353E-2</v>
      </c>
      <c r="N174" s="10">
        <v>2733409.7314201742</v>
      </c>
      <c r="O174" s="10"/>
      <c r="P174" s="10"/>
      <c r="Q174" s="10"/>
      <c r="R174" s="12">
        <v>0.27044414846005671</v>
      </c>
      <c r="S174" s="12">
        <v>0.38428461120345209</v>
      </c>
      <c r="T174" s="12">
        <v>0.1152905821580231</v>
      </c>
      <c r="U174" s="11">
        <v>3233174.9382414701</v>
      </c>
      <c r="V174" s="11">
        <v>1997856.9529421909</v>
      </c>
      <c r="Z174" s="11">
        <v>293924.99438558816</v>
      </c>
      <c r="AB174" s="11">
        <v>912500</v>
      </c>
      <c r="AC174">
        <v>2190000</v>
      </c>
      <c r="AD174">
        <v>912500</v>
      </c>
      <c r="AE174">
        <v>365000</v>
      </c>
      <c r="AF174" s="11">
        <v>4380000</v>
      </c>
      <c r="AG174" s="11">
        <v>1815751.5177934808</v>
      </c>
      <c r="AH174" s="11">
        <v>2564248.4822065192</v>
      </c>
      <c r="AI174" s="11">
        <v>2013470.5218091598</v>
      </c>
    </row>
    <row r="175" spans="1:35" x14ac:dyDescent="0.25">
      <c r="A175">
        <v>1669</v>
      </c>
      <c r="B175">
        <v>3512500</v>
      </c>
      <c r="C175">
        <v>4390625</v>
      </c>
      <c r="D175" s="11">
        <v>659540.13944826974</v>
      </c>
      <c r="E175" s="11">
        <v>158012.12990645389</v>
      </c>
      <c r="F175" s="13">
        <v>0.28219214147702948</v>
      </c>
      <c r="G175" s="11">
        <v>392951.56246836804</v>
      </c>
      <c r="H175" s="14">
        <v>0.41</v>
      </c>
      <c r="I175" s="14">
        <v>0.76</v>
      </c>
      <c r="J175" s="14">
        <v>8.3099999999999993E-2</v>
      </c>
      <c r="K175" s="12">
        <v>0.41000000000000236</v>
      </c>
      <c r="L175" s="12">
        <v>0.7600000000000019</v>
      </c>
      <c r="M175" s="12">
        <v>8.3099999999985505E-2</v>
      </c>
      <c r="N175" s="10">
        <v>2436797.319314281</v>
      </c>
      <c r="O175" s="15">
        <v>0.25</v>
      </c>
      <c r="P175" s="15">
        <v>0.35</v>
      </c>
      <c r="Q175" s="10"/>
      <c r="R175" s="12">
        <v>0.24999999999999928</v>
      </c>
      <c r="S175" s="12">
        <v>0.34999999999998876</v>
      </c>
      <c r="T175" s="12">
        <v>0.1169378766808216</v>
      </c>
      <c r="U175" s="11">
        <v>2843611.487785554</v>
      </c>
      <c r="V175" s="11">
        <v>1777257.1798660113</v>
      </c>
      <c r="Z175" s="11">
        <v>258510.13525323218</v>
      </c>
      <c r="AB175" s="11">
        <v>878125</v>
      </c>
      <c r="AC175">
        <v>2107500</v>
      </c>
      <c r="AD175">
        <v>878125</v>
      </c>
      <c r="AE175">
        <v>351250</v>
      </c>
      <c r="AF175" s="11">
        <v>4215000</v>
      </c>
      <c r="AG175" s="11">
        <v>1848081.4199175055</v>
      </c>
      <c r="AH175" s="11">
        <v>2366918.5800824948</v>
      </c>
      <c r="AI175" s="11">
        <v>1809414.0184073769</v>
      </c>
    </row>
    <row r="176" spans="1:35" x14ac:dyDescent="0.25">
      <c r="A176">
        <v>1670</v>
      </c>
      <c r="B176">
        <v>3385576.923076923</v>
      </c>
      <c r="C176">
        <v>4231971.153846154</v>
      </c>
      <c r="D176" s="11">
        <v>612848.30642298469</v>
      </c>
      <c r="E176" s="11">
        <v>152270.07994671847</v>
      </c>
      <c r="F176" s="13">
        <v>0.29057177352540381</v>
      </c>
      <c r="G176" s="11">
        <v>375086.96734577429</v>
      </c>
      <c r="K176" s="12">
        <v>0.38687872008089053</v>
      </c>
      <c r="L176" s="12">
        <v>0.6913236973974225</v>
      </c>
      <c r="M176" s="12">
        <v>7.801880236728255E-2</v>
      </c>
      <c r="N176" s="10">
        <v>2197923.9002710544</v>
      </c>
      <c r="O176" s="10"/>
      <c r="P176" s="10"/>
      <c r="Q176" s="10"/>
      <c r="R176" s="12">
        <v>0.23132541896363773</v>
      </c>
      <c r="S176" s="12">
        <v>0.30537537858118186</v>
      </c>
      <c r="T176" s="12">
        <v>0.11858517120362011</v>
      </c>
      <c r="U176" s="11">
        <v>2425320.4989717151</v>
      </c>
      <c r="V176" s="11">
        <v>1585075.5938480697</v>
      </c>
      <c r="Z176" s="11">
        <v>220483.68172470137</v>
      </c>
      <c r="AB176" s="11">
        <v>846394.23076923098</v>
      </c>
      <c r="AC176">
        <v>2031346.1538461538</v>
      </c>
      <c r="AD176">
        <v>846394.23076923075</v>
      </c>
      <c r="AE176">
        <v>338557.69230769231</v>
      </c>
      <c r="AF176" s="11">
        <v>4062692.3076923084</v>
      </c>
      <c r="AG176" s="11">
        <v>1875218.8633735729</v>
      </c>
      <c r="AH176" s="11">
        <v>2187473.4443187355</v>
      </c>
      <c r="AI176" s="11">
        <v>1624907.7853066598</v>
      </c>
    </row>
    <row r="177" spans="1:35" x14ac:dyDescent="0.25">
      <c r="A177">
        <v>1671</v>
      </c>
      <c r="B177">
        <v>3258653.846153846</v>
      </c>
      <c r="C177">
        <v>4073317.3076923075</v>
      </c>
      <c r="D177" s="11">
        <v>562575.99440771062</v>
      </c>
      <c r="E177" s="11">
        <v>138602.32077923371</v>
      </c>
      <c r="F177" s="13">
        <v>0.29220257852841419</v>
      </c>
      <c r="G177" s="11">
        <v>344932.291999084</v>
      </c>
      <c r="H177" s="14">
        <v>0.37</v>
      </c>
      <c r="I177" s="14">
        <v>0.65</v>
      </c>
      <c r="J177" s="14">
        <v>7.3200000000000001E-2</v>
      </c>
      <c r="K177" s="12">
        <v>0.36999999999998945</v>
      </c>
      <c r="L177" s="12">
        <v>0.65000000000000746</v>
      </c>
      <c r="M177" s="12">
        <v>7.3200000000012602E-2</v>
      </c>
      <c r="N177" s="10">
        <v>2013534.0104652215</v>
      </c>
      <c r="O177" s="15">
        <v>0.22</v>
      </c>
      <c r="P177" s="15">
        <v>0.28999999999999998</v>
      </c>
      <c r="Q177" s="10"/>
      <c r="R177" s="12">
        <v>0.22000000000000286</v>
      </c>
      <c r="S177" s="12">
        <v>0.2900000000000425</v>
      </c>
      <c r="T177" s="12">
        <v>0.12023246572641863</v>
      </c>
      <c r="U177" s="11">
        <v>2217657.4222699413</v>
      </c>
      <c r="V177" s="11">
        <v>1450958.0160575109</v>
      </c>
      <c r="Z177" s="11">
        <v>201605.22020635832</v>
      </c>
      <c r="AB177" s="11">
        <v>814663.4615384615</v>
      </c>
      <c r="AC177">
        <v>1955192.3076923075</v>
      </c>
      <c r="AD177">
        <v>814663.4615384615</v>
      </c>
      <c r="AE177">
        <v>325865.38461538462</v>
      </c>
      <c r="AF177" s="11">
        <v>3910384.615384615</v>
      </c>
      <c r="AG177" s="11">
        <v>1883416.415726908</v>
      </c>
      <c r="AH177" s="11">
        <v>2026968.199657707</v>
      </c>
      <c r="AI177" s="11">
        <v>1465082.3022991754</v>
      </c>
    </row>
    <row r="178" spans="1:35" x14ac:dyDescent="0.25">
      <c r="A178">
        <v>1672</v>
      </c>
      <c r="B178">
        <v>3131730.769230769</v>
      </c>
      <c r="C178">
        <v>3914663.461538461</v>
      </c>
      <c r="D178" s="11">
        <v>513725.79660827457</v>
      </c>
      <c r="E178" s="11">
        <v>106182.14674724074</v>
      </c>
      <c r="F178" s="13">
        <v>0.2922624998440137</v>
      </c>
      <c r="G178" s="11">
        <v>304559.21686649381</v>
      </c>
      <c r="H178" s="14">
        <v>0.36</v>
      </c>
      <c r="I178" s="14">
        <v>0.64</v>
      </c>
      <c r="J178" s="14">
        <v>8.4199999999999997E-2</v>
      </c>
      <c r="K178" s="12">
        <v>0.3600000000000213</v>
      </c>
      <c r="L178" s="12">
        <v>0.64000000000000246</v>
      </c>
      <c r="M178" s="12">
        <v>8.4199999999993461E-2</v>
      </c>
      <c r="N178" s="10">
        <v>1908169.6615534795</v>
      </c>
      <c r="O178" s="15">
        <v>0.22</v>
      </c>
      <c r="P178" s="15">
        <v>0.32</v>
      </c>
      <c r="Q178" s="10"/>
      <c r="R178" s="12">
        <v>0.22000000000000228</v>
      </c>
      <c r="S178" s="12">
        <v>0.3199999999999581</v>
      </c>
      <c r="T178" s="12">
        <v>0.12187976024921714</v>
      </c>
      <c r="U178" s="11">
        <v>2297663.1865571896</v>
      </c>
      <c r="V178" s="11">
        <v>1394443.8649452049</v>
      </c>
      <c r="Z178" s="11">
        <v>208878.47150519904</v>
      </c>
      <c r="AB178" s="11">
        <v>782932.69230769202</v>
      </c>
      <c r="AC178">
        <v>1879038.4615384613</v>
      </c>
      <c r="AD178">
        <v>782932.69230769225</v>
      </c>
      <c r="AE178">
        <v>313173.07692307694</v>
      </c>
      <c r="AF178" s="11">
        <v>3758076.9230769221</v>
      </c>
      <c r="AG178" s="11">
        <v>1891585.1121317171</v>
      </c>
      <c r="AH178" s="11">
        <v>1866491.8109452049</v>
      </c>
      <c r="AI178" s="11">
        <v>1305321.5610127917</v>
      </c>
    </row>
    <row r="179" spans="1:35" x14ac:dyDescent="0.25">
      <c r="A179">
        <v>1673</v>
      </c>
      <c r="B179">
        <v>3004807.692307692</v>
      </c>
      <c r="C179">
        <v>3756009.615384615</v>
      </c>
      <c r="D179" s="11">
        <v>525369.37205020129</v>
      </c>
      <c r="E179" s="11">
        <v>130234.96746294686</v>
      </c>
      <c r="F179" s="13">
        <v>0.28868890626218091</v>
      </c>
      <c r="G179" s="11">
        <v>320061.3072011132</v>
      </c>
      <c r="K179" s="12">
        <v>0.37321579437881564</v>
      </c>
      <c r="L179" s="12">
        <v>0.64105232229898668</v>
      </c>
      <c r="M179" s="12">
        <v>9.3665791390641392E-2</v>
      </c>
      <c r="N179" s="10">
        <v>1894089.8043774555</v>
      </c>
      <c r="O179" s="10"/>
      <c r="P179" s="10"/>
      <c r="Q179" s="10"/>
      <c r="R179" s="12">
        <v>0.22506301489437311</v>
      </c>
      <c r="S179" s="12">
        <v>0.31537844758283284</v>
      </c>
      <c r="T179" s="12">
        <v>0.12352705477201564</v>
      </c>
      <c r="U179" s="11">
        <v>2191497.0785232447</v>
      </c>
      <c r="V179" s="11">
        <v>1368720.4323272542</v>
      </c>
      <c r="Z179" s="11">
        <v>199227.00713847679</v>
      </c>
      <c r="AB179" s="11">
        <v>751201.92307692301</v>
      </c>
      <c r="AC179">
        <v>1802884.6153846153</v>
      </c>
      <c r="AD179">
        <v>751201.92307692301</v>
      </c>
      <c r="AE179">
        <v>300480.76923076919</v>
      </c>
      <c r="AF179" s="11">
        <v>3605769.2307692301</v>
      </c>
      <c r="AG179" s="11">
        <v>1899725.0207775584</v>
      </c>
      <c r="AH179" s="11">
        <v>1706044.2099916716</v>
      </c>
      <c r="AI179" s="11">
        <v>1145625.328862288</v>
      </c>
    </row>
    <row r="180" spans="1:35" x14ac:dyDescent="0.25">
      <c r="A180">
        <v>1674</v>
      </c>
      <c r="B180">
        <v>2877884.615384615</v>
      </c>
      <c r="C180">
        <v>3597355.769230769</v>
      </c>
      <c r="D180" s="11">
        <v>510236.37861046148</v>
      </c>
      <c r="E180" s="11">
        <v>141139.20697814645</v>
      </c>
      <c r="F180" s="13">
        <v>0.2880386210143317</v>
      </c>
      <c r="G180" s="11">
        <v>318024.04420238733</v>
      </c>
      <c r="H180" s="14">
        <v>0.37</v>
      </c>
      <c r="I180" s="14">
        <v>0.62</v>
      </c>
      <c r="J180" s="14">
        <v>9.4399999999999998E-2</v>
      </c>
      <c r="K180" s="12">
        <v>0.36999999999995298</v>
      </c>
      <c r="L180" s="12">
        <v>0.61999999999996247</v>
      </c>
      <c r="M180" s="12">
        <v>9.4399999999995071E-2</v>
      </c>
      <c r="N180" s="10">
        <v>1791651.9413309558</v>
      </c>
      <c r="O180" s="15">
        <v>0.22</v>
      </c>
      <c r="P180" s="15">
        <v>0.28999999999999998</v>
      </c>
      <c r="Q180" s="10"/>
      <c r="R180" s="12">
        <v>0.2199999999999839</v>
      </c>
      <c r="S180" s="12">
        <v>0.29000000000001219</v>
      </c>
      <c r="T180" s="12">
        <v>0.12517434929481416</v>
      </c>
      <c r="U180" s="11">
        <v>1958527.1952945623</v>
      </c>
      <c r="V180" s="11">
        <v>1281415.5627204943</v>
      </c>
      <c r="Z180" s="11">
        <v>178047.9268449602</v>
      </c>
      <c r="AB180" s="11">
        <v>719471.15384615399</v>
      </c>
      <c r="AC180">
        <v>1726730.769230769</v>
      </c>
      <c r="AD180">
        <v>719471.15384615376</v>
      </c>
      <c r="AE180">
        <v>287788.4615384615</v>
      </c>
      <c r="AF180" s="11">
        <v>3453461.5384615385</v>
      </c>
      <c r="AG180" s="11">
        <v>1907836.2097142485</v>
      </c>
      <c r="AH180" s="11">
        <v>1545625.32874729</v>
      </c>
      <c r="AI180" s="11">
        <v>985993.37389777298</v>
      </c>
    </row>
    <row r="181" spans="1:35" x14ac:dyDescent="0.25">
      <c r="A181">
        <v>1675</v>
      </c>
      <c r="B181">
        <v>2750961.538461538</v>
      </c>
      <c r="C181">
        <v>3438701.9230769225</v>
      </c>
      <c r="D181" s="11">
        <v>428437.10737860901</v>
      </c>
      <c r="E181" s="11">
        <v>93426.187970972096</v>
      </c>
      <c r="F181" s="13">
        <v>0.30085034424486945</v>
      </c>
      <c r="G181" s="11">
        <v>261405.0967047422</v>
      </c>
      <c r="H181" s="14">
        <v>0.33</v>
      </c>
      <c r="I181" s="14">
        <v>0.56999999999999995</v>
      </c>
      <c r="J181" s="14">
        <v>8.7800000000000003E-2</v>
      </c>
      <c r="K181" s="12">
        <v>0.33000000000005858</v>
      </c>
      <c r="L181" s="12">
        <v>0.57000000000004902</v>
      </c>
      <c r="M181" s="12">
        <v>8.7800000000004041E-2</v>
      </c>
      <c r="N181" s="10">
        <v>1541983.8452043878</v>
      </c>
      <c r="O181" s="15">
        <v>0.2</v>
      </c>
      <c r="P181" s="15">
        <v>0.28000000000000003</v>
      </c>
      <c r="Q181" s="10"/>
      <c r="R181" s="12">
        <v>0.20000000000001142</v>
      </c>
      <c r="S181" s="12">
        <v>0.28000000000000647</v>
      </c>
      <c r="T181" s="12">
        <v>0.12682164381761268</v>
      </c>
      <c r="U181" s="11">
        <v>1781674.7805211996</v>
      </c>
      <c r="V181" s="11">
        <v>1113546.7378257788</v>
      </c>
      <c r="Z181" s="11">
        <v>161970.4345928363</v>
      </c>
      <c r="AB181" s="11">
        <v>687740.38461538451</v>
      </c>
      <c r="AC181">
        <v>1650576.9230769228</v>
      </c>
      <c r="AD181">
        <v>687740.38461538451</v>
      </c>
      <c r="AE181">
        <v>275096.15384615381</v>
      </c>
      <c r="AF181" s="11">
        <v>3301153.8461538455</v>
      </c>
      <c r="AG181" s="11">
        <v>1915918.7468521271</v>
      </c>
      <c r="AH181" s="11">
        <v>1385235.0993017184</v>
      </c>
      <c r="AI181" s="11">
        <v>826425.46480317728</v>
      </c>
    </row>
    <row r="182" spans="1:35" x14ac:dyDescent="0.25">
      <c r="A182">
        <v>1676</v>
      </c>
      <c r="B182">
        <v>2624038.461538461</v>
      </c>
      <c r="C182">
        <v>3280048.0769230761</v>
      </c>
      <c r="D182" s="11">
        <v>402296.97719330643</v>
      </c>
      <c r="E182" s="11">
        <v>79952.212100335775</v>
      </c>
      <c r="F182" s="13">
        <v>0.30347749722272488</v>
      </c>
      <c r="G182" s="11">
        <v>242971.44167111302</v>
      </c>
      <c r="H182" s="14">
        <v>0.33</v>
      </c>
      <c r="I182" s="14">
        <v>0.56000000000000005</v>
      </c>
      <c r="J182" s="14">
        <v>8.6999999999999994E-2</v>
      </c>
      <c r="K182" s="12">
        <v>0.32999999999996837</v>
      </c>
      <c r="L182" s="12">
        <v>0.55999999999997352</v>
      </c>
      <c r="M182" s="12">
        <v>8.700000000000585E-2</v>
      </c>
      <c r="N182" s="10">
        <v>1464467.2140079292</v>
      </c>
      <c r="O182" s="15">
        <v>0.2</v>
      </c>
      <c r="P182" s="15">
        <v>0.28000000000000003</v>
      </c>
      <c r="Q182" s="10"/>
      <c r="R182" s="12">
        <v>0.20000000000001705</v>
      </c>
      <c r="S182" s="12">
        <v>0.27999999999998143</v>
      </c>
      <c r="T182" s="12">
        <v>0.12846893834041118</v>
      </c>
      <c r="U182" s="11">
        <v>1699472.378903199</v>
      </c>
      <c r="V182" s="11">
        <v>1062170.2368146228</v>
      </c>
      <c r="Z182" s="11">
        <v>154497.48899119991</v>
      </c>
      <c r="AB182" s="11">
        <v>656009.61538461503</v>
      </c>
      <c r="AC182">
        <v>1574423.0769230765</v>
      </c>
      <c r="AD182">
        <v>656009.61538461526</v>
      </c>
      <c r="AE182">
        <v>262403.84615384613</v>
      </c>
      <c r="AF182" s="11">
        <v>3148846.1538461531</v>
      </c>
      <c r="AG182" s="11">
        <v>1923972.6999623226</v>
      </c>
      <c r="AH182" s="11">
        <v>1224873.4538838305</v>
      </c>
      <c r="AI182" s="11">
        <v>666921.37089475279</v>
      </c>
    </row>
    <row r="183" spans="1:35" x14ac:dyDescent="0.25">
      <c r="A183">
        <v>1677</v>
      </c>
      <c r="B183">
        <v>2497115.384615384</v>
      </c>
      <c r="C183">
        <v>3121394.2307692301</v>
      </c>
      <c r="D183" s="11">
        <v>288455.26235501724</v>
      </c>
      <c r="E183" s="11">
        <v>-36403.426744199896</v>
      </c>
      <c r="F183" s="13">
        <v>0.29217244877818832</v>
      </c>
      <c r="G183" s="11">
        <v>121674.29594748121</v>
      </c>
      <c r="H183" s="14">
        <v>0.33</v>
      </c>
      <c r="I183" s="14">
        <v>0.56000000000000005</v>
      </c>
      <c r="J183" s="14">
        <v>9.2299999999999993E-2</v>
      </c>
      <c r="K183" s="12">
        <v>0.33000000000000962</v>
      </c>
      <c r="L183" s="12">
        <v>0.56000000000001193</v>
      </c>
      <c r="M183" s="12">
        <v>9.229999999999268E-2</v>
      </c>
      <c r="N183" s="10">
        <v>1400328.3717385908</v>
      </c>
      <c r="O183" s="15">
        <v>0.22</v>
      </c>
      <c r="P183" s="15">
        <v>0.27</v>
      </c>
      <c r="Q183" s="10"/>
      <c r="R183" s="12">
        <v>0.21999999999997807</v>
      </c>
      <c r="S183" s="12">
        <v>0.2700000000000129</v>
      </c>
      <c r="T183" s="12">
        <v>0.1301162328632097</v>
      </c>
      <c r="U183" s="11">
        <v>1610952.5164366034</v>
      </c>
      <c r="V183" s="11">
        <v>1111873.1093835735</v>
      </c>
      <c r="Z183" s="11">
        <v>146450.22876696393</v>
      </c>
      <c r="AB183" s="11">
        <v>624278.84615384601</v>
      </c>
      <c r="AC183">
        <v>1498269.2307692303</v>
      </c>
      <c r="AD183">
        <v>624278.84615384601</v>
      </c>
      <c r="AE183">
        <v>249711.53846153841</v>
      </c>
      <c r="AF183" s="11">
        <v>2996538.4615384606</v>
      </c>
      <c r="AG183" s="11">
        <v>1931998.1366770191</v>
      </c>
      <c r="AH183" s="11">
        <v>1064540.3248614415</v>
      </c>
      <c r="AI183" s="11">
        <v>507480.86211956351</v>
      </c>
    </row>
    <row r="184" spans="1:35" x14ac:dyDescent="0.25">
      <c r="A184">
        <v>1678</v>
      </c>
      <c r="B184">
        <v>2370192.307692307</v>
      </c>
      <c r="C184">
        <v>2962740.384615384</v>
      </c>
      <c r="D184" s="11">
        <v>302860.66269552114</v>
      </c>
      <c r="E184" s="11">
        <v>-2977.1347681330953</v>
      </c>
      <c r="F184" s="13">
        <v>0.29415149644899818</v>
      </c>
      <c r="G184" s="11">
        <v>146901.33502471208</v>
      </c>
      <c r="K184" s="12">
        <v>0.33376843806024065</v>
      </c>
      <c r="L184" s="12">
        <v>0.57393697472345651</v>
      </c>
      <c r="M184" s="12">
        <v>8.8885145388317252E-2</v>
      </c>
      <c r="N184" s="10">
        <v>1342589.5138342483</v>
      </c>
      <c r="O184" s="10"/>
      <c r="P184" s="10"/>
      <c r="Q184" s="10"/>
      <c r="R184" s="12">
        <v>0.21674174976937088</v>
      </c>
      <c r="S184" s="12">
        <v>0.27118604077171687</v>
      </c>
      <c r="T184" s="12">
        <v>0.13176352738600822</v>
      </c>
      <c r="U184" s="11">
        <v>1528188.2750895564</v>
      </c>
      <c r="V184" s="11">
        <v>1039728.8511387272</v>
      </c>
      <c r="Z184" s="11">
        <v>138926.20682632329</v>
      </c>
      <c r="AB184" s="11">
        <v>592548.07692307699</v>
      </c>
      <c r="AC184">
        <v>1422115.3846153843</v>
      </c>
      <c r="AD184">
        <v>592548.07692307676</v>
      </c>
      <c r="AE184">
        <v>237019.23076923072</v>
      </c>
      <c r="AF184" s="11">
        <v>2844230.7692307686</v>
      </c>
      <c r="AG184" s="11">
        <v>1939995.1244897174</v>
      </c>
      <c r="AH184" s="11">
        <v>904235.64474105113</v>
      </c>
      <c r="AI184" s="11">
        <v>348103.70905399462</v>
      </c>
    </row>
    <row r="185" spans="1:35" x14ac:dyDescent="0.25">
      <c r="A185">
        <v>1679</v>
      </c>
      <c r="B185">
        <v>2243269.2307692301</v>
      </c>
      <c r="C185">
        <v>2804086.5384615376</v>
      </c>
      <c r="D185" s="11">
        <v>376269.37906045688</v>
      </c>
      <c r="E185" s="11">
        <v>94339.800292477739</v>
      </c>
      <c r="F185" s="13">
        <v>0.31048120230691095</v>
      </c>
      <c r="G185" s="11">
        <v>240063.26899330463</v>
      </c>
      <c r="H185" s="14">
        <v>0.34</v>
      </c>
      <c r="I185" s="14">
        <v>0.59</v>
      </c>
      <c r="J185" s="14">
        <v>7.9500000000000001E-2</v>
      </c>
      <c r="K185" s="12">
        <v>0.33999999999999797</v>
      </c>
      <c r="L185" s="12">
        <v>0.5899999999999932</v>
      </c>
      <c r="M185" s="12">
        <v>7.9500000000001791E-2</v>
      </c>
      <c r="N185" s="10">
        <v>1284310.1128414718</v>
      </c>
      <c r="O185" s="15">
        <v>0.2</v>
      </c>
      <c r="P185" s="15">
        <v>0.28000000000000003</v>
      </c>
      <c r="Q185" s="10"/>
      <c r="R185" s="12">
        <v>0.20000000000000698</v>
      </c>
      <c r="S185" s="12">
        <v>0.27999999999999753</v>
      </c>
      <c r="T185" s="12">
        <v>0.13341082190880671</v>
      </c>
      <c r="U185" s="11">
        <v>1452865.1740495751</v>
      </c>
      <c r="V185" s="11">
        <v>908040.73378101492</v>
      </c>
      <c r="Z185" s="11">
        <v>132078.65218632502</v>
      </c>
      <c r="AB185" s="11">
        <v>560817.30769230751</v>
      </c>
      <c r="AC185">
        <v>1345961.538461538</v>
      </c>
      <c r="AD185">
        <v>560817.30769230751</v>
      </c>
      <c r="AE185">
        <v>224326.92307692301</v>
      </c>
      <c r="AF185" s="11">
        <v>2691923.0769230761</v>
      </c>
      <c r="AG185" s="11">
        <v>1947963.7307555019</v>
      </c>
      <c r="AH185" s="11">
        <v>743959.34616757417</v>
      </c>
      <c r="AI185" s="11">
        <v>188789.68290225184</v>
      </c>
    </row>
    <row r="186" spans="1:35" x14ac:dyDescent="0.25">
      <c r="A186">
        <v>1680</v>
      </c>
      <c r="B186">
        <v>2116346.1538461531</v>
      </c>
      <c r="C186">
        <v>2645432.6923076911</v>
      </c>
      <c r="D186" s="11">
        <v>390939.39991013543</v>
      </c>
      <c r="E186" s="11">
        <v>126814.5043068064</v>
      </c>
      <c r="F186" s="13">
        <v>0.32322445216466478</v>
      </c>
      <c r="G186" s="11">
        <v>268365.95574411104</v>
      </c>
      <c r="K186" s="12">
        <v>0.3417289683342779</v>
      </c>
      <c r="L186" s="12">
        <v>0.59251397211041934</v>
      </c>
      <c r="M186" s="12">
        <v>7.103084205842744E-2</v>
      </c>
      <c r="N186" s="10">
        <v>1208095.694350298</v>
      </c>
      <c r="O186" s="10"/>
      <c r="P186" s="10"/>
      <c r="Q186" s="10"/>
      <c r="R186" s="12">
        <v>0.19077633060460594</v>
      </c>
      <c r="S186" s="12">
        <v>0.28507005674736835</v>
      </c>
      <c r="T186" s="12">
        <v>0.13505811643160523</v>
      </c>
      <c r="U186" s="11">
        <v>1374849.3917549946</v>
      </c>
      <c r="V186" s="11">
        <v>817156.2944401626</v>
      </c>
      <c r="Z186" s="11">
        <v>124986.30834136315</v>
      </c>
      <c r="AB186" s="11">
        <v>529086.53846153803</v>
      </c>
      <c r="AC186">
        <v>1269807.6923076918</v>
      </c>
      <c r="AD186">
        <v>529086.53846153826</v>
      </c>
      <c r="AE186">
        <v>211634.61538461532</v>
      </c>
      <c r="AF186" s="11">
        <v>2539615.3846153836</v>
      </c>
      <c r="AG186" s="11">
        <v>1955904.0226913034</v>
      </c>
      <c r="AH186" s="11">
        <v>583711.36192408018</v>
      </c>
      <c r="AI186" s="11">
        <v>29538.555494873202</v>
      </c>
    </row>
    <row r="187" spans="1:35" x14ac:dyDescent="0.25">
      <c r="A187">
        <v>1681</v>
      </c>
      <c r="B187">
        <v>2000000</v>
      </c>
      <c r="C187">
        <v>2500000</v>
      </c>
      <c r="D187" s="11">
        <v>358547.15739924042</v>
      </c>
      <c r="E187" s="11">
        <v>128901.82582376624</v>
      </c>
      <c r="F187" s="13">
        <v>0.29992382599412826</v>
      </c>
      <c r="G187" s="11">
        <v>243695.32919871758</v>
      </c>
      <c r="K187" s="12">
        <v>0.3381505069318666</v>
      </c>
      <c r="L187" s="12">
        <v>0.58599335393409124</v>
      </c>
      <c r="M187" s="12">
        <v>6.497910239661589E-2</v>
      </c>
      <c r="N187" s="10">
        <v>1124226.0120693927</v>
      </c>
      <c r="O187" s="10"/>
      <c r="P187" s="10"/>
      <c r="Q187" s="10"/>
      <c r="R187" s="12">
        <v>0.18915713265198777</v>
      </c>
      <c r="S187" s="12">
        <v>0.28243823030000398</v>
      </c>
      <c r="T187" s="12">
        <v>0.13670541095440375</v>
      </c>
      <c r="U187" s="11">
        <v>1287487.6085611889</v>
      </c>
      <c r="V187" s="11">
        <v>765678.8546701523</v>
      </c>
      <c r="Z187" s="11">
        <v>117044.32805101719</v>
      </c>
      <c r="AB187" s="11">
        <v>500000</v>
      </c>
      <c r="AC187">
        <v>1200000</v>
      </c>
      <c r="AD187">
        <v>500000</v>
      </c>
      <c r="AE187">
        <v>200000</v>
      </c>
      <c r="AF187" s="11">
        <v>2400000</v>
      </c>
      <c r="AG187" s="11">
        <v>1963816.0673761612</v>
      </c>
      <c r="AH187" s="11">
        <v>436183.93262383877</v>
      </c>
      <c r="AI187" s="11">
        <v>-116957.59302045102</v>
      </c>
    </row>
    <row r="188" spans="1:35" x14ac:dyDescent="0.25">
      <c r="A188">
        <v>1682</v>
      </c>
      <c r="B188">
        <v>2000000</v>
      </c>
      <c r="C188">
        <v>2500000</v>
      </c>
      <c r="D188" s="11">
        <v>329393.43034670269</v>
      </c>
      <c r="E188" s="11">
        <v>95655.153492494937</v>
      </c>
      <c r="F188" s="13">
        <v>0.30391511897604467</v>
      </c>
      <c r="G188" s="11">
        <v>214029.83262159338</v>
      </c>
      <c r="H188" s="14">
        <v>0.33</v>
      </c>
      <c r="I188" s="14">
        <v>0.57999999999999996</v>
      </c>
      <c r="J188" s="14">
        <v>6.1499999999999999E-2</v>
      </c>
      <c r="K188" s="12">
        <v>0.32999999999999735</v>
      </c>
      <c r="L188" s="12">
        <v>0.5800000000000054</v>
      </c>
      <c r="M188" s="12">
        <v>6.1499999999999E-2</v>
      </c>
      <c r="N188" s="10">
        <v>1098484.0818474316</v>
      </c>
      <c r="O188" s="15">
        <v>0.19</v>
      </c>
      <c r="P188" s="15">
        <v>0.27</v>
      </c>
      <c r="Q188" s="10"/>
      <c r="R188" s="12">
        <v>0.18999999999999756</v>
      </c>
      <c r="S188" s="12">
        <v>0.26999999999999419</v>
      </c>
      <c r="T188" s="12">
        <v>0.13835270547720224</v>
      </c>
      <c r="U188" s="11">
        <v>1244712.5017709082</v>
      </c>
      <c r="V188" s="11">
        <v>769090.65150072891</v>
      </c>
      <c r="Z188" s="11">
        <v>113155.68197917347</v>
      </c>
      <c r="AB188" s="11">
        <v>500000</v>
      </c>
      <c r="AC188">
        <v>1200000</v>
      </c>
      <c r="AD188">
        <v>500000</v>
      </c>
      <c r="AE188">
        <v>200000</v>
      </c>
      <c r="AF188" s="11">
        <v>2400000</v>
      </c>
      <c r="AG188" s="11">
        <v>1971699.9317514864</v>
      </c>
      <c r="AH188" s="11">
        <v>428300.06824851362</v>
      </c>
      <c r="AI188" s="11">
        <v>-123775.91264190699</v>
      </c>
    </row>
    <row r="189" spans="1:35" x14ac:dyDescent="0.25">
      <c r="A189">
        <v>1683</v>
      </c>
      <c r="B189">
        <v>2000000</v>
      </c>
      <c r="C189">
        <v>2425866.7152687497</v>
      </c>
      <c r="D189" s="11">
        <v>507498.63385214272</v>
      </c>
      <c r="E189" s="11">
        <v>303832.24183758983</v>
      </c>
      <c r="F189" s="13">
        <v>0.35939117010882105</v>
      </c>
      <c r="G189" s="11">
        <v>422493.87763363955</v>
      </c>
      <c r="H189" s="14">
        <v>0.32</v>
      </c>
      <c r="I189" s="14">
        <v>0.57999999999999996</v>
      </c>
      <c r="J189" s="14">
        <v>6.1499999999999999E-2</v>
      </c>
      <c r="K189" s="12">
        <v>0.32000000000000461</v>
      </c>
      <c r="L189" s="12">
        <v>0.57999999999999796</v>
      </c>
      <c r="M189" s="12">
        <v>6.1500000000003073E-2</v>
      </c>
      <c r="N189" s="10">
        <v>1074197.0086421638</v>
      </c>
      <c r="O189" s="15">
        <v>0.19</v>
      </c>
      <c r="P189" s="15">
        <v>0.25</v>
      </c>
      <c r="Q189" s="15">
        <v>0.14000000000000001</v>
      </c>
      <c r="R189" s="12">
        <v>0.19000000000000261</v>
      </c>
      <c r="S189" s="12">
        <v>0.25000000000000633</v>
      </c>
      <c r="T189" s="12">
        <v>0.14000000000000076</v>
      </c>
      <c r="U189" s="11">
        <v>687367.36250000377</v>
      </c>
      <c r="V189" s="11">
        <v>566698.3747900211</v>
      </c>
      <c r="Z189" s="11">
        <v>62487.942045454896</v>
      </c>
      <c r="AB189" s="11">
        <v>425866.71526874974</v>
      </c>
      <c r="AC189">
        <v>1200000</v>
      </c>
      <c r="AD189">
        <v>500000</v>
      </c>
      <c r="AE189">
        <v>200000</v>
      </c>
      <c r="AF189" s="11">
        <v>2325866.7152687497</v>
      </c>
      <c r="AG189" s="11">
        <v>1979555.6826213256</v>
      </c>
      <c r="AH189" s="11">
        <v>346311.03264742414</v>
      </c>
      <c r="AI189" s="11">
        <v>-204665.29901551595</v>
      </c>
    </row>
    <row r="190" spans="1:35" x14ac:dyDescent="0.25">
      <c r="A190">
        <v>1684</v>
      </c>
      <c r="B190">
        <v>2000000</v>
      </c>
      <c r="C190">
        <v>2840179.7704049996</v>
      </c>
      <c r="D190" s="11">
        <v>495541.2709132079</v>
      </c>
      <c r="E190" s="11">
        <v>291983.3960577292</v>
      </c>
      <c r="F190" s="13">
        <v>0.35641482905339006</v>
      </c>
      <c r="G190" s="11">
        <v>409872.3291651418</v>
      </c>
      <c r="K190" s="12">
        <v>0.31535640021017941</v>
      </c>
      <c r="L190" s="12">
        <v>0.57654277806660648</v>
      </c>
      <c r="M190" s="12">
        <v>6.6587067070633429E-2</v>
      </c>
      <c r="N190" s="10">
        <v>1066667.5492336485</v>
      </c>
      <c r="O190" s="10"/>
      <c r="P190" s="10"/>
      <c r="Q190" s="10"/>
      <c r="R190" s="12">
        <v>0.19124867534262047</v>
      </c>
      <c r="S190" s="12">
        <v>0.23732250091752663</v>
      </c>
      <c r="T190" s="12">
        <v>0.14109389142767323</v>
      </c>
      <c r="U190" s="11">
        <v>1152324.8968679139</v>
      </c>
      <c r="V190" s="11">
        <v>571126.27832044056</v>
      </c>
      <c r="Z190" s="11">
        <v>104756.808806174</v>
      </c>
      <c r="AB190" s="11">
        <v>840179.77040499961</v>
      </c>
      <c r="AC190">
        <v>1200000</v>
      </c>
      <c r="AD190">
        <v>500000</v>
      </c>
      <c r="AE190">
        <v>200000</v>
      </c>
      <c r="AF190" s="11">
        <v>2740179.7704049996</v>
      </c>
      <c r="AG190" s="11">
        <v>1987383.3866526186</v>
      </c>
      <c r="AH190" s="11">
        <v>752796.38375238096</v>
      </c>
      <c r="AI190" s="11">
        <v>202953.64677848527</v>
      </c>
    </row>
    <row r="191" spans="1:35" x14ac:dyDescent="0.25">
      <c r="A191">
        <v>1685</v>
      </c>
      <c r="B191">
        <v>2000000</v>
      </c>
      <c r="C191">
        <v>1759938.2905757497</v>
      </c>
      <c r="D191" s="11">
        <v>492398.43172829086</v>
      </c>
      <c r="E191" s="11">
        <v>284325.24888829887</v>
      </c>
      <c r="F191" s="13">
        <v>0.37016213074629678</v>
      </c>
      <c r="G191" s="11">
        <v>408081.38567316561</v>
      </c>
      <c r="J191" s="17"/>
      <c r="K191" s="12">
        <v>0.3114009333651237</v>
      </c>
      <c r="L191" s="12">
        <v>0.561947568652574</v>
      </c>
      <c r="M191" s="12">
        <v>6.9906471866293618E-2</v>
      </c>
      <c r="N191" s="10">
        <v>1054512.0720957925</v>
      </c>
      <c r="O191" s="10"/>
      <c r="P191" s="10"/>
      <c r="Q191" s="10"/>
      <c r="R191" s="12">
        <v>0.18986136767263517</v>
      </c>
      <c r="S191" s="12">
        <v>0.23217299707065436</v>
      </c>
      <c r="T191" s="12">
        <v>0.13886736428458943</v>
      </c>
      <c r="U191" s="11">
        <v>706424.86634215701</v>
      </c>
      <c r="V191" s="11">
        <v>562113.64036750165</v>
      </c>
      <c r="Z191" s="11">
        <v>64220.442394741549</v>
      </c>
      <c r="AB191" s="11">
        <v>-240061.70942425029</v>
      </c>
      <c r="AC191">
        <v>1200000</v>
      </c>
      <c r="AD191">
        <v>500000</v>
      </c>
      <c r="AE191">
        <v>200000</v>
      </c>
      <c r="AF191" s="11">
        <v>1659938.2905757497</v>
      </c>
      <c r="AG191" s="11">
        <v>1995183.1103754637</v>
      </c>
      <c r="AH191" s="11">
        <v>-335244.81979971402</v>
      </c>
      <c r="AI191" s="11">
        <v>-883920.17515297118</v>
      </c>
    </row>
    <row r="192" spans="1:35" x14ac:dyDescent="0.25">
      <c r="A192">
        <v>1686</v>
      </c>
      <c r="B192">
        <v>2000000</v>
      </c>
      <c r="C192">
        <v>1796369.6461582498</v>
      </c>
      <c r="D192" s="11">
        <v>479973.28421946475</v>
      </c>
      <c r="E192" s="11">
        <v>276951.66722665803</v>
      </c>
      <c r="F192" s="13">
        <v>0.38581134899992764</v>
      </c>
      <c r="G192" s="11">
        <v>401040.29630228784</v>
      </c>
      <c r="H192" s="14">
        <v>0.3</v>
      </c>
      <c r="I192" s="14">
        <v>0.53</v>
      </c>
      <c r="J192" s="14">
        <v>6.2300000000000001E-2</v>
      </c>
      <c r="K192" s="12">
        <v>0.29999999999999205</v>
      </c>
      <c r="L192" s="12">
        <v>0.52999999999998493</v>
      </c>
      <c r="M192" s="12">
        <v>6.229999999998815E-2</v>
      </c>
      <c r="N192" s="10">
        <v>1006193.2036673108</v>
      </c>
      <c r="O192" s="15">
        <v>0.18</v>
      </c>
      <c r="P192" s="15">
        <v>0.23</v>
      </c>
      <c r="Q192" s="15">
        <v>0.13</v>
      </c>
      <c r="R192" s="12">
        <v>0.17999999999999192</v>
      </c>
      <c r="S192" s="12">
        <v>0.22999999999999773</v>
      </c>
      <c r="T192" s="12">
        <v>0.12999999999999312</v>
      </c>
      <c r="U192" s="11">
        <v>690785.55074997491</v>
      </c>
      <c r="V192" s="11">
        <v>526219.91944784601</v>
      </c>
      <c r="Z192" s="11">
        <v>62798.686431815906</v>
      </c>
      <c r="AB192" s="11">
        <v>-203630.35384175018</v>
      </c>
      <c r="AC192">
        <v>1200000</v>
      </c>
      <c r="AD192">
        <v>500000</v>
      </c>
      <c r="AE192">
        <v>200000</v>
      </c>
      <c r="AF192" s="11">
        <v>1696369.6461582498</v>
      </c>
      <c r="AG192" s="11">
        <v>2002954.920183375</v>
      </c>
      <c r="AH192" s="11">
        <v>-306585.2740251252</v>
      </c>
      <c r="AI192" s="11">
        <v>-854059.61887525232</v>
      </c>
    </row>
    <row r="193" spans="1:35" x14ac:dyDescent="0.25">
      <c r="A193">
        <v>1687</v>
      </c>
      <c r="B193">
        <v>2000000</v>
      </c>
      <c r="C193">
        <v>2903452.0958520002</v>
      </c>
      <c r="D193" s="11">
        <v>447519.13101859362</v>
      </c>
      <c r="E193" s="11">
        <v>254027.71453895682</v>
      </c>
      <c r="F193" s="13">
        <v>0.41105514791646947</v>
      </c>
      <c r="G193" s="11">
        <v>376911.29988192231</v>
      </c>
      <c r="K193" s="12">
        <v>0.27897908366867574</v>
      </c>
      <c r="L193" s="12">
        <v>0.48583691310749688</v>
      </c>
      <c r="M193" s="12">
        <v>4.3499865993038858E-2</v>
      </c>
      <c r="N193" s="10">
        <v>918238.00526306895</v>
      </c>
      <c r="O193" s="10"/>
      <c r="P193" s="10"/>
      <c r="Q193" s="10"/>
      <c r="R193" s="12">
        <v>0.16188864824882426</v>
      </c>
      <c r="S193" s="12">
        <v>0.22795482470244466</v>
      </c>
      <c r="T193" s="12">
        <v>0.1162887442877264</v>
      </c>
      <c r="U193" s="11">
        <v>1028962.1946417345</v>
      </c>
      <c r="V193" s="11">
        <v>470718.87424447533</v>
      </c>
      <c r="Z193" s="11">
        <v>93542.017694703129</v>
      </c>
      <c r="AB193" s="11">
        <v>903452.09585200017</v>
      </c>
      <c r="AC193">
        <v>1200000</v>
      </c>
      <c r="AD193">
        <v>500000</v>
      </c>
      <c r="AE193">
        <v>200000</v>
      </c>
      <c r="AF193" s="11">
        <v>2803452.0958520002</v>
      </c>
      <c r="AG193" s="11">
        <v>2010698.8823335459</v>
      </c>
      <c r="AH193" s="11">
        <v>792753.21351845423</v>
      </c>
      <c r="AI193" s="11">
        <v>246513.35048450285</v>
      </c>
    </row>
    <row r="194" spans="1:35" x14ac:dyDescent="0.25">
      <c r="A194">
        <v>1688</v>
      </c>
      <c r="B194">
        <v>2000000</v>
      </c>
      <c r="C194">
        <v>3900031.0576485</v>
      </c>
      <c r="D194" s="11">
        <v>413689.81359670853</v>
      </c>
      <c r="E194" s="11">
        <v>218499.0373376066</v>
      </c>
      <c r="F194" s="13">
        <v>0.40184087767433185</v>
      </c>
      <c r="G194" s="11">
        <v>340828.59398083395</v>
      </c>
      <c r="H194" s="14">
        <v>0.27</v>
      </c>
      <c r="I194" s="14">
        <v>0.48</v>
      </c>
      <c r="J194" s="14">
        <v>4.8800000000000003E-2</v>
      </c>
      <c r="K194" s="12">
        <v>0.27000000000001428</v>
      </c>
      <c r="L194" s="12">
        <v>0.48000000000005916</v>
      </c>
      <c r="M194" s="12">
        <v>4.8800000000037175E-2</v>
      </c>
      <c r="N194" s="10">
        <v>899431.27770253911</v>
      </c>
      <c r="O194" s="15">
        <v>0.16</v>
      </c>
      <c r="P194" s="15">
        <v>0.23</v>
      </c>
      <c r="Q194" s="15">
        <v>0.12</v>
      </c>
      <c r="R194" s="12">
        <v>0.16000000000001982</v>
      </c>
      <c r="S194" s="12">
        <v>0.23000000000000242</v>
      </c>
      <c r="T194" s="12">
        <v>0.12000000000002491</v>
      </c>
      <c r="U194" s="11">
        <v>1373444.927100129</v>
      </c>
      <c r="V194" s="11">
        <v>485741.46410583059</v>
      </c>
      <c r="Z194" s="11">
        <v>124858.62973637535</v>
      </c>
      <c r="AB194" s="11">
        <v>1900031.0576485</v>
      </c>
      <c r="AC194">
        <v>1200000</v>
      </c>
      <c r="AD194">
        <v>500000</v>
      </c>
      <c r="AE194">
        <v>200000</v>
      </c>
      <c r="AF194" s="11">
        <v>3800031.0576485</v>
      </c>
      <c r="AG194" s="11">
        <v>2018415.0629471061</v>
      </c>
      <c r="AH194" s="11">
        <v>1781615.9947013939</v>
      </c>
      <c r="AI194" s="11">
        <v>1236643.9277056705</v>
      </c>
    </row>
    <row r="195" spans="1:35" x14ac:dyDescent="0.25">
      <c r="A195">
        <v>1689</v>
      </c>
      <c r="B195">
        <v>2000000</v>
      </c>
      <c r="C195">
        <v>3358620.4278514995</v>
      </c>
      <c r="D195" s="11">
        <v>407314.45688035514</v>
      </c>
      <c r="E195" s="11">
        <v>194980.10619248988</v>
      </c>
      <c r="F195" s="13">
        <v>0.34970759777128346</v>
      </c>
      <c r="G195" s="11">
        <v>316237.9323605462</v>
      </c>
      <c r="H195" s="14">
        <v>0.28999999999999998</v>
      </c>
      <c r="I195" s="14">
        <v>0.53</v>
      </c>
      <c r="J195" s="14">
        <v>9.4500000000000001E-2</v>
      </c>
      <c r="K195" s="12">
        <v>0.28999999999999548</v>
      </c>
      <c r="L195" s="12">
        <v>0.52999999999993552</v>
      </c>
      <c r="M195" s="12">
        <v>9.449999999996464E-2</v>
      </c>
      <c r="N195" s="10">
        <v>1014491.2870124149</v>
      </c>
      <c r="O195" s="15">
        <v>0.19</v>
      </c>
      <c r="P195" s="15">
        <v>0.24</v>
      </c>
      <c r="Q195" s="15">
        <v>0.15</v>
      </c>
      <c r="R195" s="12">
        <v>0.18999999999998593</v>
      </c>
      <c r="S195" s="12">
        <v>0.24000000000000143</v>
      </c>
      <c r="T195" s="12">
        <v>0.14999999999997468</v>
      </c>
      <c r="U195" s="11">
        <v>1359517.6699999254</v>
      </c>
      <c r="V195" s="11">
        <v>607176.83013205975</v>
      </c>
      <c r="Z195" s="11">
        <v>123592.51545453868</v>
      </c>
      <c r="AB195" s="11">
        <v>1358620.4278514995</v>
      </c>
      <c r="AC195">
        <v>1200000</v>
      </c>
      <c r="AD195">
        <v>500000</v>
      </c>
      <c r="AE195">
        <v>200000</v>
      </c>
      <c r="AF195" s="11">
        <v>3258620.4278514995</v>
      </c>
      <c r="AG195" s="11">
        <v>2026103.5280093816</v>
      </c>
      <c r="AH195" s="11">
        <v>1232516.8998421179</v>
      </c>
      <c r="AI195" s="11">
        <v>688845.7864929291</v>
      </c>
    </row>
    <row r="196" spans="1:35" x14ac:dyDescent="0.25">
      <c r="A196">
        <v>1690</v>
      </c>
      <c r="B196">
        <v>2000000</v>
      </c>
      <c r="C196">
        <v>2302906.2426437498</v>
      </c>
      <c r="D196" s="11">
        <v>446993.09152219037</v>
      </c>
      <c r="E196" s="11">
        <v>229073.61900815793</v>
      </c>
      <c r="F196" s="13">
        <v>0.33669921206727321</v>
      </c>
      <c r="G196" s="11">
        <v>349909.6422429157</v>
      </c>
      <c r="K196" s="12">
        <v>0.31654871346789692</v>
      </c>
      <c r="L196" s="12">
        <v>0.52418688011694758</v>
      </c>
      <c r="M196" s="12">
        <v>0.11189078820262406</v>
      </c>
      <c r="N196" s="10">
        <v>1094216.0867173548</v>
      </c>
      <c r="O196" s="10"/>
      <c r="P196" s="10"/>
      <c r="Q196" s="10"/>
      <c r="R196" s="12">
        <v>0.21863419799989386</v>
      </c>
      <c r="S196" s="12">
        <v>0.25352739342214553</v>
      </c>
      <c r="T196" s="12">
        <v>0.15989320484798938</v>
      </c>
      <c r="U196" s="11">
        <v>1051559.8594225822</v>
      </c>
      <c r="V196" s="11">
        <v>647222.99519516446</v>
      </c>
      <c r="Z196" s="11">
        <v>95596.350856598379</v>
      </c>
      <c r="AB196" s="11">
        <v>302906.24264374981</v>
      </c>
      <c r="AC196">
        <v>1200000</v>
      </c>
      <c r="AD196">
        <v>500000</v>
      </c>
      <c r="AE196">
        <v>200000</v>
      </c>
      <c r="AF196" s="11">
        <v>2202906.2426437498</v>
      </c>
      <c r="AG196" s="11">
        <v>2033764.3433701545</v>
      </c>
      <c r="AH196" s="11">
        <v>169141.89927359531</v>
      </c>
      <c r="AI196" s="11">
        <v>-373195.25895845063</v>
      </c>
    </row>
    <row r="197" spans="1:35" x14ac:dyDescent="0.25">
      <c r="A197">
        <v>1691</v>
      </c>
      <c r="B197">
        <v>2000000</v>
      </c>
      <c r="C197">
        <v>2841410.9685714999</v>
      </c>
      <c r="D197" s="11">
        <v>468032.13989346416</v>
      </c>
      <c r="E197" s="11">
        <v>252609.16551111315</v>
      </c>
      <c r="F197" s="13">
        <v>0.33261980441427297</v>
      </c>
      <c r="G197" s="11">
        <v>370883.84707231051</v>
      </c>
      <c r="H197" s="14">
        <v>0.33</v>
      </c>
      <c r="I197" s="14">
        <v>0.5</v>
      </c>
      <c r="J197" s="14">
        <v>0.1105</v>
      </c>
      <c r="K197" s="12">
        <v>0.32999999999997881</v>
      </c>
      <c r="L197" s="12">
        <v>0.50000000000003098</v>
      </c>
      <c r="M197" s="12">
        <v>0.11050000000001252</v>
      </c>
      <c r="N197" s="10">
        <v>1115687.4253678219</v>
      </c>
      <c r="O197" s="15">
        <v>0.24</v>
      </c>
      <c r="P197" s="15">
        <v>0.26</v>
      </c>
      <c r="Q197" s="15">
        <v>0.16</v>
      </c>
      <c r="R197" s="12">
        <v>0.24000000000000082</v>
      </c>
      <c r="S197" s="12">
        <v>0.25999999999998369</v>
      </c>
      <c r="T197" s="12">
        <v>0.16000000000001272</v>
      </c>
      <c r="U197" s="11">
        <v>1403194.3093999852</v>
      </c>
      <c r="V197" s="11">
        <v>647655.28547435778</v>
      </c>
      <c r="Z197" s="11">
        <v>127563.1190363623</v>
      </c>
      <c r="AB197" s="11">
        <v>841410.96857149992</v>
      </c>
      <c r="AC197">
        <v>1200000</v>
      </c>
      <c r="AD197">
        <v>500000</v>
      </c>
      <c r="AE197">
        <v>200000</v>
      </c>
      <c r="AF197" s="11">
        <v>2741410.9685714999</v>
      </c>
      <c r="AG197" s="11">
        <v>2041397.5747439195</v>
      </c>
      <c r="AH197" s="11">
        <v>700013.39382758038</v>
      </c>
      <c r="AI197" s="11">
        <v>159043.03652043687</v>
      </c>
    </row>
    <row r="198" spans="1:35" x14ac:dyDescent="0.25">
      <c r="A198">
        <v>1692</v>
      </c>
      <c r="B198">
        <v>2000000</v>
      </c>
      <c r="C198">
        <v>1947996.6400274998</v>
      </c>
      <c r="D198" s="11">
        <v>442227.12461300055</v>
      </c>
      <c r="E198" s="11">
        <v>223942.89260709879</v>
      </c>
      <c r="F198" s="13">
        <v>0.31721192997588377</v>
      </c>
      <c r="G198" s="11">
        <v>339007.06349053729</v>
      </c>
      <c r="H198" s="14">
        <v>0.33</v>
      </c>
      <c r="I198" s="14">
        <v>0.52</v>
      </c>
      <c r="J198" s="14">
        <v>0.11700000000000001</v>
      </c>
      <c r="K198" s="12">
        <v>0.33000000000002316</v>
      </c>
      <c r="L198" s="12">
        <v>0.51999999999998958</v>
      </c>
      <c r="M198" s="12">
        <v>0.11699999999999518</v>
      </c>
      <c r="N198" s="10">
        <v>1130360.8654294224</v>
      </c>
      <c r="O198" s="10"/>
      <c r="P198" s="15">
        <v>0.26</v>
      </c>
      <c r="Q198" s="15">
        <v>0.17</v>
      </c>
      <c r="R198" s="12">
        <v>0.25811989000005908</v>
      </c>
      <c r="S198" s="12">
        <v>0.26000000000001855</v>
      </c>
      <c r="T198" s="12">
        <v>0.16999999999999291</v>
      </c>
      <c r="U198" s="11">
        <v>1019144.6255478628</v>
      </c>
      <c r="V198" s="11">
        <v>688133.74081642181</v>
      </c>
      <c r="Z198" s="11">
        <v>92649.511413442073</v>
      </c>
      <c r="AB198" s="11">
        <v>-52003.359972500242</v>
      </c>
      <c r="AC198">
        <v>1200000</v>
      </c>
      <c r="AD198">
        <v>500000</v>
      </c>
      <c r="AE198">
        <v>200000</v>
      </c>
      <c r="AF198" s="11">
        <v>1847996.6400274998</v>
      </c>
      <c r="AG198" s="11">
        <v>2049003.2877101447</v>
      </c>
      <c r="AH198" s="11">
        <v>-201006.64768264489</v>
      </c>
      <c r="AI198" s="11">
        <v>-740577.51344632125</v>
      </c>
    </row>
    <row r="199" spans="1:35" x14ac:dyDescent="0.25">
      <c r="A199">
        <v>1693</v>
      </c>
      <c r="B199">
        <v>2000000</v>
      </c>
      <c r="C199">
        <v>2184109.96053875</v>
      </c>
      <c r="D199" s="11">
        <v>516714.9298782479</v>
      </c>
      <c r="E199" s="11">
        <v>294217.9358034691</v>
      </c>
      <c r="F199" s="13">
        <v>0.31044862284677793</v>
      </c>
      <c r="G199" s="11">
        <v>409210.67102479876</v>
      </c>
      <c r="K199" s="12">
        <v>0.3625259750841936</v>
      </c>
      <c r="L199" s="12">
        <v>0.56155972870579918</v>
      </c>
      <c r="M199" s="12">
        <v>0.12414485114804513</v>
      </c>
      <c r="N199" s="10">
        <v>1233409.9889012421</v>
      </c>
      <c r="O199" s="10"/>
      <c r="P199" s="10"/>
      <c r="Q199" s="10"/>
      <c r="R199" s="12">
        <v>0.27449591200004708</v>
      </c>
      <c r="S199" s="12">
        <v>0.28921977334107868</v>
      </c>
      <c r="T199" s="12">
        <v>0.17705593085633561</v>
      </c>
      <c r="U199" s="11">
        <v>1226418.1869072006</v>
      </c>
      <c r="V199" s="11">
        <v>716695.05902299425</v>
      </c>
      <c r="Z199" s="11">
        <v>111492.56244610915</v>
      </c>
      <c r="AB199" s="11">
        <v>184109.96053875005</v>
      </c>
      <c r="AC199">
        <v>1200000</v>
      </c>
      <c r="AD199">
        <v>500000</v>
      </c>
      <c r="AE199">
        <v>200000</v>
      </c>
      <c r="AF199" s="11">
        <v>2084109.96053875</v>
      </c>
      <c r="AG199" s="11">
        <v>2056581.5477135251</v>
      </c>
      <c r="AH199" s="11">
        <v>27528.412825224921</v>
      </c>
      <c r="AI199" s="11">
        <v>-510610.42549315246</v>
      </c>
    </row>
    <row r="200" spans="1:35" x14ac:dyDescent="0.25">
      <c r="A200">
        <v>1694</v>
      </c>
      <c r="B200">
        <v>2000000</v>
      </c>
      <c r="C200">
        <v>4567484.9358075</v>
      </c>
      <c r="D200" s="11">
        <v>669716.04363575729</v>
      </c>
      <c r="E200" s="11">
        <v>448389.37403168483</v>
      </c>
      <c r="F200" s="13">
        <v>0.30376470606854333</v>
      </c>
      <c r="G200" s="11">
        <v>560424.21421196754</v>
      </c>
      <c r="H200" s="14">
        <v>0.42</v>
      </c>
      <c r="I200" s="14">
        <v>0.61</v>
      </c>
      <c r="J200" s="14">
        <v>0.1298</v>
      </c>
      <c r="K200" s="12">
        <v>0.41999999999999443</v>
      </c>
      <c r="L200" s="12">
        <v>0.60999999999999843</v>
      </c>
      <c r="M200" s="12">
        <v>0.12980000000000033</v>
      </c>
      <c r="N200" s="10">
        <v>1398328.2397943556</v>
      </c>
      <c r="O200" s="15">
        <v>0.28999999999999998</v>
      </c>
      <c r="P200" s="15">
        <v>0.34</v>
      </c>
      <c r="Q200" s="15">
        <v>0.18</v>
      </c>
      <c r="R200" s="12">
        <v>0.28999999999999998</v>
      </c>
      <c r="S200" s="12">
        <v>0.33999999999999525</v>
      </c>
      <c r="T200" s="12">
        <v>0.18000000000000091</v>
      </c>
      <c r="U200" s="11">
        <v>2773271.0249999911</v>
      </c>
      <c r="V200" s="11">
        <v>728612.19615859829</v>
      </c>
      <c r="Z200" s="11">
        <v>252115.54772727191</v>
      </c>
      <c r="AB200" s="11">
        <v>2567484.9358075</v>
      </c>
      <c r="AC200">
        <v>1200000</v>
      </c>
      <c r="AD200">
        <v>500000</v>
      </c>
      <c r="AE200">
        <v>200000</v>
      </c>
      <c r="AF200" s="11">
        <v>4467484.9358075</v>
      </c>
      <c r="AG200" s="11">
        <v>2064132.4200642421</v>
      </c>
      <c r="AH200" s="11">
        <v>2403352.5157432579</v>
      </c>
      <c r="AI200" s="11">
        <v>1866678.0865265499</v>
      </c>
    </row>
    <row r="201" spans="1:35" x14ac:dyDescent="0.25">
      <c r="A201">
        <v>1695</v>
      </c>
      <c r="B201">
        <v>2000000</v>
      </c>
      <c r="C201">
        <v>5956306.2118375003</v>
      </c>
      <c r="D201" s="11">
        <v>669716.04363575729</v>
      </c>
      <c r="E201" s="11">
        <v>450812.5938496833</v>
      </c>
      <c r="F201" s="13">
        <v>0.30043890418000208</v>
      </c>
      <c r="G201" s="11">
        <v>560424.21421196754</v>
      </c>
      <c r="K201" s="12">
        <v>0.41999999999999443</v>
      </c>
      <c r="L201" s="12">
        <v>0.60999999999999843</v>
      </c>
      <c r="M201" s="12">
        <v>0.12980000000000033</v>
      </c>
      <c r="N201" s="10">
        <v>1398328.2397943556</v>
      </c>
      <c r="O201" s="10"/>
      <c r="P201" s="10"/>
      <c r="Q201" s="10"/>
      <c r="R201" s="12">
        <v>0.28999999999999998</v>
      </c>
      <c r="S201" s="12">
        <v>0.33999999999999525</v>
      </c>
      <c r="T201" s="12">
        <v>0.18000000000000091</v>
      </c>
      <c r="U201" s="11">
        <v>3616531.1249999888</v>
      </c>
      <c r="V201" s="11">
        <v>728612.19615859829</v>
      </c>
      <c r="Z201" s="11">
        <v>328775.55681818078</v>
      </c>
      <c r="AB201" s="11">
        <v>3956306.2118375003</v>
      </c>
      <c r="AC201">
        <v>1200000</v>
      </c>
      <c r="AD201">
        <v>500000</v>
      </c>
      <c r="AE201">
        <v>200000</v>
      </c>
      <c r="AF201" s="11">
        <v>5856306.2118375003</v>
      </c>
      <c r="AG201" s="11">
        <v>2071655.9699382195</v>
      </c>
      <c r="AH201" s="11">
        <v>3784650.2418992808</v>
      </c>
      <c r="AI201" s="11">
        <v>3249472.4496652354</v>
      </c>
    </row>
    <row r="202" spans="1:35" x14ac:dyDescent="0.25">
      <c r="A202">
        <v>1696</v>
      </c>
      <c r="B202">
        <v>2000000</v>
      </c>
      <c r="C202">
        <v>3543704.8866499998</v>
      </c>
      <c r="D202" s="11">
        <v>669716.04363575729</v>
      </c>
      <c r="E202" s="11">
        <v>451614.55614422692</v>
      </c>
      <c r="F202" s="13">
        <v>0.29933823320747138</v>
      </c>
      <c r="G202" s="11">
        <v>560424.21421196754</v>
      </c>
      <c r="K202" s="12">
        <v>0.41999999999999443</v>
      </c>
      <c r="L202" s="12">
        <v>0.60999999999999843</v>
      </c>
      <c r="M202" s="12">
        <v>0.12980000000000033</v>
      </c>
      <c r="N202" s="10">
        <v>1398328.2397943556</v>
      </c>
      <c r="O202" s="10"/>
      <c r="P202" s="10"/>
      <c r="Q202" s="10"/>
      <c r="R202" s="12">
        <v>0.28999999999999998</v>
      </c>
      <c r="S202" s="12">
        <v>0.33999999999999525</v>
      </c>
      <c r="T202" s="12">
        <v>0.18000000000000091</v>
      </c>
      <c r="U202" s="11">
        <v>2151655.499999993</v>
      </c>
      <c r="V202" s="11">
        <v>728612.19615859829</v>
      </c>
      <c r="Z202" s="11">
        <v>195605.04545454483</v>
      </c>
      <c r="AB202" s="11">
        <v>1543704.8866499998</v>
      </c>
      <c r="AC202">
        <v>1200000</v>
      </c>
      <c r="AD202">
        <v>500000</v>
      </c>
      <c r="AE202">
        <v>200000</v>
      </c>
      <c r="AF202" s="11">
        <v>3443704.8866499998</v>
      </c>
      <c r="AG202" s="11">
        <v>2079152.2623773792</v>
      </c>
      <c r="AH202" s="11">
        <v>1364552.6242726205</v>
      </c>
      <c r="AI202" s="11">
        <v>830903.54359575466</v>
      </c>
    </row>
    <row r="203" spans="1:35" x14ac:dyDescent="0.25">
      <c r="A203">
        <v>1697</v>
      </c>
      <c r="B203">
        <v>2000000</v>
      </c>
      <c r="C203">
        <v>5264620.3566499995</v>
      </c>
      <c r="D203" s="11">
        <v>669716.04363575729</v>
      </c>
      <c r="E203" s="11">
        <v>442600.95367994253</v>
      </c>
      <c r="F203" s="13">
        <v>0.31170915221185541</v>
      </c>
      <c r="G203" s="11">
        <v>560424.21421196754</v>
      </c>
      <c r="K203" s="12">
        <v>0.41999999999999443</v>
      </c>
      <c r="L203" s="12">
        <v>0.60999999999999843</v>
      </c>
      <c r="M203" s="12">
        <v>0.12980000000000033</v>
      </c>
      <c r="N203" s="10">
        <v>1398328.2397943556</v>
      </c>
      <c r="O203" s="10"/>
      <c r="P203" s="10"/>
      <c r="Q203" s="10"/>
      <c r="R203" s="12">
        <v>0.28999999999999998</v>
      </c>
      <c r="S203" s="12">
        <v>0.33999999999999525</v>
      </c>
      <c r="T203" s="12">
        <v>0.18000000000000091</v>
      </c>
      <c r="U203" s="11">
        <v>3196555.4999999898</v>
      </c>
      <c r="V203" s="11">
        <v>728612.19615859829</v>
      </c>
      <c r="Z203" s="11">
        <v>290595.9545454536</v>
      </c>
      <c r="AB203" s="11">
        <v>3264620.3566499995</v>
      </c>
      <c r="AC203">
        <v>1200000</v>
      </c>
      <c r="AD203">
        <v>500000</v>
      </c>
      <c r="AE203">
        <v>200000</v>
      </c>
      <c r="AF203" s="11">
        <v>5164620.3566499995</v>
      </c>
      <c r="AG203" s="11">
        <v>2086621.3622898972</v>
      </c>
      <c r="AH203" s="11">
        <v>3077998.9943601023</v>
      </c>
      <c r="AI203" s="11">
        <v>2545910.5469761733</v>
      </c>
    </row>
    <row r="204" spans="1:35" x14ac:dyDescent="0.25">
      <c r="A204">
        <v>1698</v>
      </c>
      <c r="B204">
        <v>2000000</v>
      </c>
      <c r="C204">
        <v>2421078.4273175001</v>
      </c>
      <c r="D204" s="11">
        <v>669716.04363575729</v>
      </c>
      <c r="E204" s="11">
        <v>444483.02719012834</v>
      </c>
      <c r="F204" s="13">
        <v>0.3091260585989451</v>
      </c>
      <c r="G204" s="11">
        <v>560424.21421196754</v>
      </c>
      <c r="K204" s="12">
        <v>0.41999999999999443</v>
      </c>
      <c r="L204" s="12">
        <v>0.60999999999999843</v>
      </c>
      <c r="M204" s="12">
        <v>0.12980000000000033</v>
      </c>
      <c r="N204" s="10">
        <v>1398328.2397943556</v>
      </c>
      <c r="O204" s="10"/>
      <c r="P204" s="10"/>
      <c r="Q204" s="10"/>
      <c r="R204" s="12">
        <v>0.28999999999999998</v>
      </c>
      <c r="S204" s="12">
        <v>0.33999999999999525</v>
      </c>
      <c r="T204" s="12">
        <v>0.18000000000000091</v>
      </c>
      <c r="U204" s="11">
        <v>1470022.7249999957</v>
      </c>
      <c r="V204" s="11">
        <v>728612.19615859829</v>
      </c>
      <c r="Z204" s="11">
        <v>133638.42954545416</v>
      </c>
      <c r="AB204" s="11">
        <v>421078.42731750011</v>
      </c>
      <c r="AC204">
        <v>1200000</v>
      </c>
      <c r="AD204">
        <v>500000</v>
      </c>
      <c r="AE204">
        <v>200000</v>
      </c>
      <c r="AF204" s="11">
        <v>2321078.4273175001</v>
      </c>
      <c r="AG204" s="11">
        <v>2094063.3344504572</v>
      </c>
      <c r="AH204" s="11">
        <v>227015.09286704287</v>
      </c>
      <c r="AI204" s="11">
        <v>-303480.95186041156</v>
      </c>
    </row>
    <row r="205" spans="1:35" x14ac:dyDescent="0.25">
      <c r="A205">
        <v>1699</v>
      </c>
      <c r="B205">
        <v>2000000</v>
      </c>
      <c r="C205">
        <v>3590496.2595912497</v>
      </c>
      <c r="D205" s="11">
        <v>669716.04363575729</v>
      </c>
      <c r="E205" s="11">
        <v>445279.11698720837</v>
      </c>
      <c r="F205" s="13">
        <v>0.30803344746605826</v>
      </c>
      <c r="G205" s="11">
        <v>560424.21421196754</v>
      </c>
      <c r="K205" s="12">
        <v>0.41999999999999443</v>
      </c>
      <c r="L205" s="12">
        <v>0.60999999999999843</v>
      </c>
      <c r="M205" s="12">
        <v>0.12980000000000033</v>
      </c>
      <c r="N205" s="10">
        <v>1398328.2397943556</v>
      </c>
      <c r="O205" s="10"/>
      <c r="P205" s="10"/>
      <c r="Q205" s="10"/>
      <c r="R205" s="12">
        <v>0.28999999999999998</v>
      </c>
      <c r="S205" s="12">
        <v>0.33999999999999525</v>
      </c>
      <c r="T205" s="12">
        <v>0.18000000000000091</v>
      </c>
      <c r="U205" s="11">
        <v>2180066.1374999927</v>
      </c>
      <c r="V205" s="11">
        <v>728612.19615859829</v>
      </c>
      <c r="Z205" s="11">
        <v>198187.83068181749</v>
      </c>
      <c r="AB205" s="11">
        <v>1590496.2595912497</v>
      </c>
      <c r="AC205">
        <v>1200000</v>
      </c>
      <c r="AD205">
        <v>500000</v>
      </c>
      <c r="AE205">
        <v>200000</v>
      </c>
      <c r="AF205" s="11">
        <v>3490496.2595912497</v>
      </c>
      <c r="AG205" s="11">
        <v>2101478.243500507</v>
      </c>
      <c r="AH205" s="11">
        <v>1389018.0160907428</v>
      </c>
      <c r="AI205" s="11">
        <v>860145.99147644313</v>
      </c>
    </row>
    <row r="206" spans="1:35" x14ac:dyDescent="0.25">
      <c r="A206">
        <v>1700</v>
      </c>
      <c r="B206">
        <v>2000000</v>
      </c>
      <c r="C206">
        <v>3500848.7799795</v>
      </c>
      <c r="D206" s="11">
        <v>669716.04363575729</v>
      </c>
      <c r="E206" s="11">
        <v>441777.85905675893</v>
      </c>
      <c r="F206" s="13">
        <v>0.31283882671843538</v>
      </c>
      <c r="G206" s="11">
        <v>560424.21421196754</v>
      </c>
      <c r="K206" s="12">
        <v>0.41999999999999443</v>
      </c>
      <c r="L206" s="12">
        <v>0.60999999999999843</v>
      </c>
      <c r="M206" s="12">
        <v>0.12980000000000033</v>
      </c>
      <c r="N206" s="10">
        <v>1398328.2397943556</v>
      </c>
      <c r="O206" s="10"/>
      <c r="P206" s="10"/>
      <c r="Q206" s="10"/>
      <c r="R206" s="12">
        <v>0.28999999999999998</v>
      </c>
      <c r="S206" s="12">
        <v>0.33999999999999525</v>
      </c>
      <c r="T206" s="12">
        <v>0.18000000000000091</v>
      </c>
      <c r="U206" s="11">
        <v>2125634.2649999936</v>
      </c>
      <c r="V206" s="11">
        <v>728612.19615859829</v>
      </c>
      <c r="Z206" s="11">
        <v>193239.47863636306</v>
      </c>
      <c r="AB206" s="11">
        <v>1500848.7799795</v>
      </c>
      <c r="AC206">
        <v>1200000</v>
      </c>
      <c r="AD206">
        <v>500000</v>
      </c>
      <c r="AE206">
        <v>200000</v>
      </c>
      <c r="AF206" s="11">
        <v>3400848.7799795</v>
      </c>
      <c r="AG206" s="11">
        <v>2108866.1539485115</v>
      </c>
      <c r="AH206" s="11">
        <v>1291982.6260309885</v>
      </c>
      <c r="AI206" s="11">
        <v>764766.08754386066</v>
      </c>
    </row>
    <row r="207" spans="1:35" x14ac:dyDescent="0.25">
      <c r="F207" s="1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736"/>
  <sheetViews>
    <sheetView topLeftCell="A67" zoomScale="70" zoomScaleNormal="70" workbookViewId="0">
      <selection activeCell="A110" sqref="A110"/>
    </sheetView>
  </sheetViews>
  <sheetFormatPr defaultRowHeight="15" x14ac:dyDescent="0.25"/>
  <cols>
    <col min="8" max="8" width="9.140625" style="22"/>
    <col min="14" max="14" width="9.140625" style="22"/>
    <col min="23" max="23" width="9.140625" style="22"/>
    <col min="37" max="37" width="9.140625" style="23"/>
    <col min="44" max="44" width="9.140625" style="22"/>
    <col min="47" max="47" width="9.140625" style="22"/>
    <col min="52" max="52" width="9.140625" style="22"/>
    <col min="61" max="61" width="9.140625" style="22"/>
    <col min="69" max="69" width="9.140625" style="22"/>
    <col min="74" max="74" width="9.140625" style="22"/>
    <col min="77" max="77" width="9.140625" style="22"/>
  </cols>
  <sheetData>
    <row r="1" spans="1:89" x14ac:dyDescent="0.25">
      <c r="A1" s="19" t="s">
        <v>92</v>
      </c>
      <c r="B1" s="19" t="s">
        <v>93</v>
      </c>
      <c r="C1" s="19"/>
      <c r="D1" s="19"/>
      <c r="E1" s="20"/>
      <c r="F1" s="19"/>
      <c r="G1" s="19"/>
      <c r="H1" s="21"/>
      <c r="I1" s="19" t="s">
        <v>94</v>
      </c>
      <c r="J1" s="19"/>
      <c r="L1">
        <f>28*0.49409</f>
        <v>13.834519999999999</v>
      </c>
      <c r="M1" s="19"/>
      <c r="O1" s="8" t="s">
        <v>95</v>
      </c>
      <c r="R1">
        <f>28*0.49409</f>
        <v>13.834519999999999</v>
      </c>
      <c r="X1" s="8" t="s">
        <v>96</v>
      </c>
      <c r="AB1" t="s">
        <v>97</v>
      </c>
      <c r="AG1">
        <f>28*0.49409</f>
        <v>13.834519999999999</v>
      </c>
      <c r="AS1" s="8" t="s">
        <v>98</v>
      </c>
      <c r="AV1" s="8" t="s">
        <v>99</v>
      </c>
      <c r="AW1" s="8"/>
      <c r="BA1" s="8" t="s">
        <v>100</v>
      </c>
      <c r="BC1" t="s">
        <v>101</v>
      </c>
      <c r="BJ1" s="8" t="s">
        <v>102</v>
      </c>
      <c r="BR1" s="8" t="s">
        <v>103</v>
      </c>
      <c r="BW1" s="8" t="s">
        <v>104</v>
      </c>
      <c r="BZ1" s="24" t="s">
        <v>105</v>
      </c>
      <c r="CA1" s="24"/>
      <c r="CD1" s="8" t="s">
        <v>106</v>
      </c>
      <c r="CJ1" s="8" t="s">
        <v>107</v>
      </c>
    </row>
    <row r="2" spans="1:89" x14ac:dyDescent="0.25">
      <c r="A2" s="19"/>
      <c r="B2" s="19"/>
      <c r="C2" s="19"/>
      <c r="D2" s="19"/>
      <c r="E2" s="20"/>
      <c r="F2" s="19"/>
      <c r="G2" s="19"/>
      <c r="H2" s="21"/>
      <c r="I2" s="20" t="s">
        <v>108</v>
      </c>
      <c r="K2" s="20"/>
      <c r="M2" s="19"/>
      <c r="O2" t="s">
        <v>97</v>
      </c>
      <c r="X2" t="s">
        <v>109</v>
      </c>
      <c r="Z2" s="11">
        <f>SUM(V62:V68)+SUM(AO62:AO68)</f>
        <v>24898149.583062001</v>
      </c>
      <c r="AV2" t="s">
        <v>110</v>
      </c>
      <c r="AW2" s="8"/>
      <c r="BA2" s="8"/>
      <c r="BJ2" s="8"/>
      <c r="BR2" t="s">
        <v>111</v>
      </c>
      <c r="BW2" s="8"/>
      <c r="BZ2" s="24"/>
      <c r="CA2" s="24"/>
      <c r="CD2" s="8"/>
      <c r="CJ2" t="s">
        <v>112</v>
      </c>
    </row>
    <row r="3" spans="1:89" x14ac:dyDescent="0.25">
      <c r="A3" s="19" t="s">
        <v>113</v>
      </c>
      <c r="B3" t="s">
        <v>114</v>
      </c>
      <c r="C3" s="19" t="s">
        <v>115</v>
      </c>
      <c r="D3" s="19" t="s">
        <v>116</v>
      </c>
      <c r="E3" t="s">
        <v>117</v>
      </c>
      <c r="F3" s="20" t="s">
        <v>38</v>
      </c>
      <c r="G3" s="20"/>
      <c r="H3" s="21"/>
      <c r="I3" t="s">
        <v>118</v>
      </c>
      <c r="J3" s="19"/>
      <c r="K3" t="s">
        <v>117</v>
      </c>
      <c r="L3" s="19"/>
      <c r="M3" s="20" t="s">
        <v>38</v>
      </c>
      <c r="O3" t="s">
        <v>119</v>
      </c>
      <c r="P3" t="s">
        <v>120</v>
      </c>
      <c r="Q3" t="s">
        <v>121</v>
      </c>
      <c r="R3" t="s">
        <v>122</v>
      </c>
      <c r="U3" t="s">
        <v>123</v>
      </c>
      <c r="X3" t="s">
        <v>119</v>
      </c>
      <c r="AA3" t="s">
        <v>120</v>
      </c>
      <c r="AD3" t="s">
        <v>121</v>
      </c>
      <c r="AG3" t="s">
        <v>122</v>
      </c>
      <c r="AK3" s="23" t="s">
        <v>124</v>
      </c>
      <c r="AL3" t="s">
        <v>125</v>
      </c>
      <c r="AO3" t="s">
        <v>123</v>
      </c>
      <c r="AS3" t="s">
        <v>126</v>
      </c>
      <c r="BA3" t="s">
        <v>127</v>
      </c>
      <c r="BD3" t="s">
        <v>128</v>
      </c>
      <c r="BF3" t="s">
        <v>129</v>
      </c>
      <c r="BG3" t="s">
        <v>130</v>
      </c>
      <c r="BO3" t="s">
        <v>131</v>
      </c>
      <c r="BS3" t="s">
        <v>132</v>
      </c>
      <c r="BW3" t="s">
        <v>133</v>
      </c>
      <c r="BZ3" s="24" t="s">
        <v>134</v>
      </c>
      <c r="CA3" s="24"/>
      <c r="CD3" t="s">
        <v>135</v>
      </c>
      <c r="CJ3" t="s">
        <v>136</v>
      </c>
    </row>
    <row r="4" spans="1:89" x14ac:dyDescent="0.25">
      <c r="C4">
        <f>35*28</f>
        <v>980</v>
      </c>
      <c r="D4">
        <f>0.49409</f>
        <v>0.49408999999999997</v>
      </c>
      <c r="E4" t="s">
        <v>67</v>
      </c>
      <c r="F4" t="s">
        <v>137</v>
      </c>
      <c r="I4" t="s">
        <v>67</v>
      </c>
      <c r="J4" t="s">
        <v>138</v>
      </c>
      <c r="K4" t="s">
        <v>67</v>
      </c>
      <c r="L4" t="s">
        <v>139</v>
      </c>
      <c r="M4" t="s">
        <v>137</v>
      </c>
      <c r="O4" t="s">
        <v>140</v>
      </c>
      <c r="P4" t="s">
        <v>140</v>
      </c>
      <c r="Q4" t="s">
        <v>140</v>
      </c>
      <c r="R4" t="s">
        <v>67</v>
      </c>
      <c r="S4" t="s">
        <v>141</v>
      </c>
      <c r="T4" t="s">
        <v>139</v>
      </c>
      <c r="U4" t="s">
        <v>142</v>
      </c>
      <c r="X4" t="s">
        <v>143</v>
      </c>
      <c r="Y4" t="s">
        <v>144</v>
      </c>
      <c r="Z4" t="s">
        <v>140</v>
      </c>
      <c r="AA4" t="s">
        <v>143</v>
      </c>
      <c r="AB4" t="s">
        <v>144</v>
      </c>
      <c r="AC4" t="s">
        <v>140</v>
      </c>
      <c r="AD4" t="s">
        <v>143</v>
      </c>
      <c r="AE4" t="s">
        <v>144</v>
      </c>
      <c r="AF4" t="s">
        <v>140</v>
      </c>
      <c r="AG4" t="s">
        <v>67</v>
      </c>
      <c r="AH4" t="s">
        <v>141</v>
      </c>
      <c r="AI4" t="s">
        <v>139</v>
      </c>
      <c r="AL4" t="s">
        <v>67</v>
      </c>
      <c r="AM4" t="s">
        <v>141</v>
      </c>
      <c r="AN4" t="s">
        <v>139</v>
      </c>
      <c r="AO4" t="s">
        <v>142</v>
      </c>
      <c r="AP4" t="s">
        <v>87</v>
      </c>
      <c r="AV4" t="s">
        <v>145</v>
      </c>
      <c r="AW4">
        <f>0.49409</f>
        <v>0.49408999999999997</v>
      </c>
      <c r="AX4" t="s">
        <v>146</v>
      </c>
      <c r="BA4" t="s">
        <v>147</v>
      </c>
      <c r="BB4" t="s">
        <v>148</v>
      </c>
      <c r="BC4" t="s">
        <v>116</v>
      </c>
      <c r="BD4" t="s">
        <v>149</v>
      </c>
      <c r="BF4" t="s">
        <v>150</v>
      </c>
      <c r="BG4" t="s">
        <v>151</v>
      </c>
      <c r="BO4" t="s">
        <v>152</v>
      </c>
      <c r="BP4" t="s">
        <v>87</v>
      </c>
      <c r="BR4" t="s">
        <v>153</v>
      </c>
      <c r="BS4" t="s">
        <v>154</v>
      </c>
      <c r="BW4" t="s">
        <v>155</v>
      </c>
      <c r="BX4" t="s">
        <v>156</v>
      </c>
      <c r="CA4" t="s">
        <v>157</v>
      </c>
      <c r="CB4">
        <v>125000</v>
      </c>
      <c r="CD4" t="s">
        <v>158</v>
      </c>
      <c r="CE4" t="s">
        <v>159</v>
      </c>
      <c r="CJ4" t="s">
        <v>79</v>
      </c>
      <c r="CK4" t="s">
        <v>68</v>
      </c>
    </row>
    <row r="5" spans="1:89" x14ac:dyDescent="0.25">
      <c r="A5" s="25">
        <v>1580</v>
      </c>
      <c r="B5" s="25"/>
      <c r="C5" s="25"/>
      <c r="D5" s="25"/>
      <c r="E5" s="25"/>
      <c r="F5" s="25">
        <f t="shared" ref="F5:F68" si="0">SUM(E5:E5)</f>
        <v>0</v>
      </c>
      <c r="G5" s="25"/>
      <c r="H5" s="26"/>
      <c r="I5" s="25"/>
      <c r="J5" s="25"/>
      <c r="K5" s="25"/>
      <c r="L5" s="25"/>
      <c r="M5" s="25">
        <f t="shared" ref="M5:M68" si="1">SUM(K5:L5)</f>
        <v>0</v>
      </c>
      <c r="U5" s="11">
        <f t="shared" ref="U5:U33" si="2">SUM(R5:T5)</f>
        <v>0</v>
      </c>
      <c r="V5" s="11"/>
      <c r="AO5" s="11">
        <f t="shared" ref="AO5:AO68" si="3">SUM(AG5:AI5)</f>
        <v>0</v>
      </c>
      <c r="BW5" s="11">
        <f t="shared" ref="BW5:BW68" si="4">BO5+AO5+U5+M5+F5+BT5+AW5</f>
        <v>0</v>
      </c>
      <c r="BZ5">
        <v>0</v>
      </c>
      <c r="CB5">
        <f>BZ5*$CB$4*0.95</f>
        <v>0</v>
      </c>
    </row>
    <row r="6" spans="1:89" x14ac:dyDescent="0.25">
      <c r="A6" s="25">
        <f t="shared" ref="A6:A69" si="5">A5+1</f>
        <v>1581</v>
      </c>
      <c r="B6" s="25"/>
      <c r="C6" s="25"/>
      <c r="D6" s="25"/>
      <c r="E6" s="25"/>
      <c r="F6" s="25">
        <f t="shared" si="0"/>
        <v>0</v>
      </c>
      <c r="G6" s="25"/>
      <c r="H6" s="26"/>
      <c r="I6" s="25"/>
      <c r="J6" s="25"/>
      <c r="K6" s="25"/>
      <c r="L6" s="25"/>
      <c r="M6" s="25">
        <f t="shared" si="1"/>
        <v>0</v>
      </c>
      <c r="U6" s="11">
        <f t="shared" si="2"/>
        <v>0</v>
      </c>
      <c r="V6" s="11"/>
      <c r="AO6" s="11">
        <f t="shared" si="3"/>
        <v>0</v>
      </c>
      <c r="BW6" s="11">
        <f t="shared" si="4"/>
        <v>0</v>
      </c>
      <c r="BZ6">
        <v>0</v>
      </c>
      <c r="CB6">
        <f t="shared" ref="CB6:CB69" si="6">BZ6*$CB$4*0.95</f>
        <v>0</v>
      </c>
    </row>
    <row r="7" spans="1:89" x14ac:dyDescent="0.25">
      <c r="A7" s="25">
        <f t="shared" si="5"/>
        <v>1582</v>
      </c>
      <c r="B7" s="25"/>
      <c r="C7" s="25"/>
      <c r="D7" s="25"/>
      <c r="E7" s="25"/>
      <c r="F7" s="25">
        <f t="shared" si="0"/>
        <v>0</v>
      </c>
      <c r="G7" s="25"/>
      <c r="H7" s="26"/>
      <c r="I7" s="25"/>
      <c r="J7" s="25"/>
      <c r="K7" s="25"/>
      <c r="L7" s="25"/>
      <c r="M7" s="25">
        <f t="shared" si="1"/>
        <v>0</v>
      </c>
      <c r="U7" s="11">
        <f t="shared" si="2"/>
        <v>0</v>
      </c>
      <c r="V7" s="11"/>
      <c r="AO7" s="11">
        <f t="shared" si="3"/>
        <v>0</v>
      </c>
      <c r="BW7" s="11">
        <f t="shared" si="4"/>
        <v>0</v>
      </c>
      <c r="BZ7">
        <v>0</v>
      </c>
      <c r="CB7">
        <f t="shared" si="6"/>
        <v>0</v>
      </c>
    </row>
    <row r="8" spans="1:89" x14ac:dyDescent="0.25">
      <c r="A8" s="25">
        <f t="shared" si="5"/>
        <v>1583</v>
      </c>
      <c r="B8" s="25"/>
      <c r="C8" s="25"/>
      <c r="D8" s="25"/>
      <c r="E8" s="25"/>
      <c r="F8" s="25">
        <f t="shared" si="0"/>
        <v>0</v>
      </c>
      <c r="G8" s="25"/>
      <c r="H8" s="26"/>
      <c r="I8" s="25"/>
      <c r="J8" s="25"/>
      <c r="K8" s="25"/>
      <c r="L8" s="25"/>
      <c r="M8" s="25">
        <f t="shared" si="1"/>
        <v>0</v>
      </c>
      <c r="U8" s="11">
        <f t="shared" si="2"/>
        <v>0</v>
      </c>
      <c r="V8" s="11"/>
      <c r="AO8" s="11">
        <f t="shared" si="3"/>
        <v>0</v>
      </c>
      <c r="BW8" s="11">
        <f t="shared" si="4"/>
        <v>0</v>
      </c>
      <c r="BZ8">
        <v>0</v>
      </c>
      <c r="CB8">
        <f t="shared" si="6"/>
        <v>0</v>
      </c>
    </row>
    <row r="9" spans="1:89" x14ac:dyDescent="0.25">
      <c r="A9" s="25">
        <f t="shared" si="5"/>
        <v>1584</v>
      </c>
      <c r="B9" s="25"/>
      <c r="C9" s="25"/>
      <c r="D9" s="25"/>
      <c r="E9" s="25"/>
      <c r="F9" s="25">
        <f t="shared" si="0"/>
        <v>0</v>
      </c>
      <c r="G9" s="25"/>
      <c r="H9" s="26"/>
      <c r="I9" s="25">
        <v>1200</v>
      </c>
      <c r="J9" s="25"/>
      <c r="K9" s="25">
        <f>I9*0.4904</f>
        <v>588.48</v>
      </c>
      <c r="L9" s="25"/>
      <c r="M9" s="25">
        <f t="shared" si="1"/>
        <v>588.48</v>
      </c>
      <c r="U9" s="11">
        <f t="shared" si="2"/>
        <v>0</v>
      </c>
      <c r="V9" s="11"/>
      <c r="AO9" s="11">
        <f t="shared" si="3"/>
        <v>0</v>
      </c>
      <c r="BW9" s="11">
        <f t="shared" si="4"/>
        <v>588.48</v>
      </c>
      <c r="BZ9">
        <v>0</v>
      </c>
      <c r="CB9">
        <f t="shared" si="6"/>
        <v>0</v>
      </c>
    </row>
    <row r="10" spans="1:89" x14ac:dyDescent="0.25">
      <c r="A10" s="25">
        <f t="shared" si="5"/>
        <v>1585</v>
      </c>
      <c r="B10" s="25"/>
      <c r="C10" s="25"/>
      <c r="D10" s="25"/>
      <c r="E10" s="25"/>
      <c r="F10" s="25">
        <f t="shared" si="0"/>
        <v>0</v>
      </c>
      <c r="G10" s="25"/>
      <c r="H10" s="26"/>
      <c r="I10" s="25"/>
      <c r="J10" s="25"/>
      <c r="K10" s="25"/>
      <c r="L10" s="25"/>
      <c r="M10" s="25">
        <f t="shared" si="1"/>
        <v>0</v>
      </c>
      <c r="U10" s="11">
        <f t="shared" si="2"/>
        <v>0</v>
      </c>
      <c r="V10" s="11"/>
      <c r="AO10" s="11">
        <f t="shared" si="3"/>
        <v>0</v>
      </c>
      <c r="BW10" s="11">
        <f t="shared" si="4"/>
        <v>0</v>
      </c>
      <c r="BZ10">
        <v>0</v>
      </c>
      <c r="CB10">
        <f t="shared" si="6"/>
        <v>0</v>
      </c>
    </row>
    <row r="11" spans="1:89" x14ac:dyDescent="0.25">
      <c r="A11" s="25">
        <f t="shared" si="5"/>
        <v>1586</v>
      </c>
      <c r="B11" s="25"/>
      <c r="C11" s="25"/>
      <c r="D11" s="25"/>
      <c r="E11" s="25"/>
      <c r="F11" s="25">
        <f t="shared" si="0"/>
        <v>0</v>
      </c>
      <c r="G11" s="25"/>
      <c r="H11" s="26"/>
      <c r="I11" s="25"/>
      <c r="J11" s="25"/>
      <c r="K11" s="25"/>
      <c r="L11" s="25"/>
      <c r="M11" s="25">
        <f t="shared" si="1"/>
        <v>0</v>
      </c>
      <c r="U11" s="11">
        <f t="shared" si="2"/>
        <v>0</v>
      </c>
      <c r="V11" s="11"/>
      <c r="AO11" s="11">
        <f t="shared" si="3"/>
        <v>0</v>
      </c>
      <c r="BW11" s="11">
        <f t="shared" si="4"/>
        <v>0</v>
      </c>
      <c r="BZ11">
        <v>0</v>
      </c>
      <c r="CB11">
        <f t="shared" si="6"/>
        <v>0</v>
      </c>
    </row>
    <row r="12" spans="1:89" x14ac:dyDescent="0.25">
      <c r="A12" s="25">
        <f t="shared" si="5"/>
        <v>1587</v>
      </c>
      <c r="B12" s="25"/>
      <c r="C12" s="25"/>
      <c r="D12" s="25"/>
      <c r="E12" s="25"/>
      <c r="F12" s="25">
        <f t="shared" si="0"/>
        <v>0</v>
      </c>
      <c r="G12" s="25"/>
      <c r="H12" s="26"/>
      <c r="I12" s="25"/>
      <c r="J12" s="25"/>
      <c r="K12" s="25"/>
      <c r="L12" s="25"/>
      <c r="M12" s="25">
        <f t="shared" si="1"/>
        <v>0</v>
      </c>
      <c r="U12" s="11">
        <f t="shared" si="2"/>
        <v>0</v>
      </c>
      <c r="V12" s="11"/>
      <c r="AO12" s="11">
        <f t="shared" si="3"/>
        <v>0</v>
      </c>
      <c r="BW12" s="11">
        <f t="shared" si="4"/>
        <v>0</v>
      </c>
      <c r="BZ12">
        <v>0</v>
      </c>
      <c r="CB12">
        <f t="shared" si="6"/>
        <v>0</v>
      </c>
    </row>
    <row r="13" spans="1:89" x14ac:dyDescent="0.25">
      <c r="A13" s="25">
        <f t="shared" si="5"/>
        <v>1588</v>
      </c>
      <c r="B13" s="25"/>
      <c r="C13" s="25"/>
      <c r="D13" s="25"/>
      <c r="E13" s="25"/>
      <c r="F13" s="25">
        <f t="shared" si="0"/>
        <v>0</v>
      </c>
      <c r="G13" s="25"/>
      <c r="H13" s="26"/>
      <c r="I13" s="25"/>
      <c r="J13" s="25"/>
      <c r="K13" s="25"/>
      <c r="L13" s="25"/>
      <c r="M13" s="25">
        <f t="shared" si="1"/>
        <v>0</v>
      </c>
      <c r="U13" s="11">
        <f t="shared" si="2"/>
        <v>0</v>
      </c>
      <c r="V13" s="11"/>
      <c r="AO13" s="11">
        <f t="shared" si="3"/>
        <v>0</v>
      </c>
      <c r="BW13" s="11">
        <f t="shared" si="4"/>
        <v>0</v>
      </c>
      <c r="BZ13">
        <v>0</v>
      </c>
      <c r="CB13">
        <f t="shared" si="6"/>
        <v>0</v>
      </c>
    </row>
    <row r="14" spans="1:89" x14ac:dyDescent="0.25">
      <c r="A14" s="25">
        <f t="shared" si="5"/>
        <v>1589</v>
      </c>
      <c r="B14" s="25"/>
      <c r="C14" s="25"/>
      <c r="D14" s="25"/>
      <c r="E14" s="25"/>
      <c r="F14" s="25">
        <f t="shared" si="0"/>
        <v>0</v>
      </c>
      <c r="G14" s="25"/>
      <c r="H14" s="26"/>
      <c r="I14" s="25"/>
      <c r="J14" s="25"/>
      <c r="K14" s="25"/>
      <c r="L14" s="25"/>
      <c r="M14" s="25">
        <f t="shared" si="1"/>
        <v>0</v>
      </c>
      <c r="U14" s="11">
        <f t="shared" si="2"/>
        <v>0</v>
      </c>
      <c r="V14" s="11"/>
      <c r="AO14" s="11">
        <f t="shared" si="3"/>
        <v>0</v>
      </c>
      <c r="BW14" s="11">
        <f t="shared" si="4"/>
        <v>0</v>
      </c>
      <c r="BZ14">
        <v>0</v>
      </c>
      <c r="CB14">
        <f t="shared" si="6"/>
        <v>0</v>
      </c>
    </row>
    <row r="15" spans="1:89" x14ac:dyDescent="0.25">
      <c r="A15" s="25">
        <f t="shared" si="5"/>
        <v>1590</v>
      </c>
      <c r="B15" s="25">
        <v>130</v>
      </c>
      <c r="C15" s="25">
        <f>B15*$C$4</f>
        <v>127400</v>
      </c>
      <c r="D15" s="25">
        <f>C15*$D$4</f>
        <v>62947.065999999999</v>
      </c>
      <c r="E15" s="25"/>
      <c r="F15" s="25">
        <f t="shared" si="0"/>
        <v>0</v>
      </c>
      <c r="G15" s="25">
        <f>AVERAGE(F13:F17)</f>
        <v>35240.672795999992</v>
      </c>
      <c r="H15" s="26"/>
      <c r="I15" s="25"/>
      <c r="J15" s="25"/>
      <c r="K15" s="25"/>
      <c r="L15" s="25"/>
      <c r="M15" s="25">
        <f t="shared" si="1"/>
        <v>0</v>
      </c>
      <c r="U15" s="11">
        <f t="shared" si="2"/>
        <v>0</v>
      </c>
      <c r="V15" s="11"/>
      <c r="AO15" s="11">
        <f t="shared" si="3"/>
        <v>0</v>
      </c>
      <c r="BW15" s="11">
        <f t="shared" si="4"/>
        <v>0</v>
      </c>
      <c r="BZ15">
        <v>0</v>
      </c>
      <c r="CB15">
        <f t="shared" si="6"/>
        <v>0</v>
      </c>
    </row>
    <row r="16" spans="1:89" x14ac:dyDescent="0.25">
      <c r="A16" s="25">
        <f t="shared" si="5"/>
        <v>1591</v>
      </c>
      <c r="B16" s="25">
        <v>60</v>
      </c>
      <c r="C16" s="25">
        <f t="shared" ref="C16:C56" si="7">B16*$C$4</f>
        <v>58800</v>
      </c>
      <c r="D16" s="25">
        <f t="shared" ref="D16:D56" si="8">C16*$D$4</f>
        <v>29052.491999999998</v>
      </c>
      <c r="E16" s="27"/>
      <c r="F16" s="25">
        <f t="shared" si="0"/>
        <v>0</v>
      </c>
      <c r="G16" s="25">
        <f t="shared" ref="G16:G58" si="9">AVERAGE(F14:F18)</f>
        <v>76698.578880000001</v>
      </c>
      <c r="H16" s="26"/>
      <c r="I16" s="25"/>
      <c r="J16" s="25"/>
      <c r="K16" s="25"/>
      <c r="L16" s="25"/>
      <c r="M16" s="25">
        <f t="shared" si="1"/>
        <v>0</v>
      </c>
      <c r="U16" s="11">
        <f t="shared" si="2"/>
        <v>0</v>
      </c>
      <c r="V16" s="11"/>
      <c r="AO16" s="11">
        <f t="shared" si="3"/>
        <v>0</v>
      </c>
      <c r="BW16" s="11">
        <f t="shared" si="4"/>
        <v>0</v>
      </c>
      <c r="BZ16">
        <v>0</v>
      </c>
      <c r="CB16">
        <f t="shared" si="6"/>
        <v>0</v>
      </c>
    </row>
    <row r="17" spans="1:80" x14ac:dyDescent="0.25">
      <c r="A17" s="25">
        <f t="shared" si="5"/>
        <v>1592</v>
      </c>
      <c r="B17" s="25">
        <v>660.5</v>
      </c>
      <c r="C17" s="25">
        <f t="shared" si="7"/>
        <v>647290</v>
      </c>
      <c r="D17" s="25">
        <f t="shared" si="8"/>
        <v>319819.51610000001</v>
      </c>
      <c r="E17" s="27">
        <f>SUM(D15:D19)/5</f>
        <v>176203.36397999997</v>
      </c>
      <c r="F17" s="27">
        <f t="shared" si="0"/>
        <v>176203.36397999997</v>
      </c>
      <c r="G17" s="25">
        <f t="shared" si="9"/>
        <v>127724.43899599998</v>
      </c>
      <c r="H17" s="26"/>
      <c r="I17" s="25"/>
      <c r="J17" s="25"/>
      <c r="K17" s="25"/>
      <c r="L17" s="25"/>
      <c r="M17" s="25">
        <f t="shared" si="1"/>
        <v>0</v>
      </c>
      <c r="U17" s="11">
        <f t="shared" si="2"/>
        <v>0</v>
      </c>
      <c r="V17" s="11"/>
      <c r="AO17" s="11">
        <f t="shared" si="3"/>
        <v>0</v>
      </c>
      <c r="BW17" s="11">
        <f t="shared" si="4"/>
        <v>176203.36397999997</v>
      </c>
      <c r="BX17">
        <f>(BC17+AW17)</f>
        <v>0</v>
      </c>
      <c r="BZ17">
        <v>0</v>
      </c>
      <c r="CB17">
        <f t="shared" si="6"/>
        <v>0</v>
      </c>
    </row>
    <row r="18" spans="1:80" x14ac:dyDescent="0.25">
      <c r="A18" s="25">
        <f t="shared" si="5"/>
        <v>1593</v>
      </c>
      <c r="B18" s="25">
        <v>690</v>
      </c>
      <c r="C18" s="25">
        <f t="shared" si="7"/>
        <v>676200</v>
      </c>
      <c r="D18" s="25">
        <f t="shared" si="8"/>
        <v>334103.658</v>
      </c>
      <c r="E18" s="27">
        <f t="shared" ref="E18:E56" si="10">SUM(D16:D20)/5</f>
        <v>207289.53042000002</v>
      </c>
      <c r="F18" s="27">
        <f t="shared" si="0"/>
        <v>207289.53042000002</v>
      </c>
      <c r="G18" s="25">
        <f t="shared" si="9"/>
        <v>179457.24308399999</v>
      </c>
      <c r="H18" s="26"/>
      <c r="I18" s="25"/>
      <c r="J18" s="25"/>
      <c r="K18" s="25"/>
      <c r="L18" s="25"/>
      <c r="M18" s="25">
        <f t="shared" si="1"/>
        <v>0</v>
      </c>
      <c r="U18" s="11">
        <f t="shared" si="2"/>
        <v>0</v>
      </c>
      <c r="V18" s="11"/>
      <c r="AO18" s="11">
        <f t="shared" si="3"/>
        <v>0</v>
      </c>
      <c r="BW18" s="11">
        <f t="shared" si="4"/>
        <v>207289.53042000002</v>
      </c>
      <c r="BZ18">
        <v>0</v>
      </c>
      <c r="CB18">
        <f t="shared" si="6"/>
        <v>0</v>
      </c>
    </row>
    <row r="19" spans="1:80" x14ac:dyDescent="0.25">
      <c r="A19" s="25">
        <f t="shared" si="5"/>
        <v>1594</v>
      </c>
      <c r="B19" s="25">
        <v>279</v>
      </c>
      <c r="C19" s="25">
        <f t="shared" si="7"/>
        <v>273420</v>
      </c>
      <c r="D19" s="25">
        <f t="shared" si="8"/>
        <v>135094.08779999998</v>
      </c>
      <c r="E19" s="27">
        <f t="shared" si="10"/>
        <v>255129.30057999998</v>
      </c>
      <c r="F19" s="27">
        <f t="shared" si="0"/>
        <v>255129.30057999998</v>
      </c>
      <c r="G19" s="25">
        <f t="shared" si="9"/>
        <v>277315.72030399996</v>
      </c>
      <c r="H19" s="26"/>
      <c r="I19" s="25"/>
      <c r="J19" s="25"/>
      <c r="K19" s="25"/>
      <c r="L19" s="25"/>
      <c r="M19" s="25">
        <f t="shared" si="1"/>
        <v>0</v>
      </c>
      <c r="U19" s="11">
        <f t="shared" si="2"/>
        <v>0</v>
      </c>
      <c r="V19" s="11"/>
      <c r="AO19" s="11">
        <f t="shared" si="3"/>
        <v>0</v>
      </c>
      <c r="BW19" s="11">
        <f t="shared" si="4"/>
        <v>255129.30057999998</v>
      </c>
      <c r="BZ19">
        <v>3</v>
      </c>
      <c r="CA19" s="11">
        <f t="shared" ref="CA19:CA82" si="11">BW19/BZ19/1000</f>
        <v>85.043100193333331</v>
      </c>
      <c r="CB19">
        <f t="shared" si="6"/>
        <v>356250</v>
      </c>
    </row>
    <row r="20" spans="1:80" x14ac:dyDescent="0.25">
      <c r="A20" s="25">
        <f t="shared" si="5"/>
        <v>1595</v>
      </c>
      <c r="B20" s="25">
        <v>451</v>
      </c>
      <c r="C20" s="25">
        <f t="shared" si="7"/>
        <v>441980</v>
      </c>
      <c r="D20" s="25">
        <f t="shared" si="8"/>
        <v>218377.8982</v>
      </c>
      <c r="E20" s="27">
        <f t="shared" si="10"/>
        <v>258664.02044000002</v>
      </c>
      <c r="F20" s="27">
        <f t="shared" si="0"/>
        <v>258664.02044000002</v>
      </c>
      <c r="G20" s="25">
        <f t="shared" si="9"/>
        <v>344581.92344799999</v>
      </c>
      <c r="H20" s="26"/>
      <c r="I20" s="25"/>
      <c r="J20" s="25"/>
      <c r="K20" s="25"/>
      <c r="L20" s="25"/>
      <c r="M20" s="25">
        <f t="shared" si="1"/>
        <v>0</v>
      </c>
      <c r="U20" s="11">
        <f t="shared" si="2"/>
        <v>0</v>
      </c>
      <c r="V20" s="11"/>
      <c r="AO20" s="11">
        <f t="shared" si="3"/>
        <v>0</v>
      </c>
      <c r="BW20" s="11">
        <f t="shared" si="4"/>
        <v>258664.02044000002</v>
      </c>
      <c r="BZ20">
        <v>3</v>
      </c>
      <c r="CA20" s="11">
        <f t="shared" si="11"/>
        <v>86.221340146666662</v>
      </c>
      <c r="CB20">
        <f t="shared" si="6"/>
        <v>356250</v>
      </c>
    </row>
    <row r="21" spans="1:80" x14ac:dyDescent="0.25">
      <c r="A21" s="25">
        <f t="shared" si="5"/>
        <v>1596</v>
      </c>
      <c r="B21" s="25">
        <v>554</v>
      </c>
      <c r="C21" s="25">
        <f t="shared" si="7"/>
        <v>542920</v>
      </c>
      <c r="D21" s="25">
        <f t="shared" si="8"/>
        <v>268251.34279999998</v>
      </c>
      <c r="E21" s="27">
        <f t="shared" si="10"/>
        <v>489292.38609999995</v>
      </c>
      <c r="F21" s="27">
        <f t="shared" si="0"/>
        <v>489292.38609999995</v>
      </c>
      <c r="G21" s="25">
        <f t="shared" si="9"/>
        <v>407199.72787199996</v>
      </c>
      <c r="H21" s="26"/>
      <c r="I21" s="25"/>
      <c r="J21" s="25"/>
      <c r="K21" s="25"/>
      <c r="L21" s="25"/>
      <c r="M21" s="25">
        <f t="shared" si="1"/>
        <v>0</v>
      </c>
      <c r="U21" s="11">
        <f t="shared" si="2"/>
        <v>0</v>
      </c>
      <c r="V21" s="11"/>
      <c r="AO21" s="11">
        <f t="shared" si="3"/>
        <v>0</v>
      </c>
      <c r="BW21" s="11">
        <f t="shared" si="4"/>
        <v>489292.38609999995</v>
      </c>
      <c r="BZ21" s="8">
        <v>3</v>
      </c>
      <c r="CA21" s="11">
        <f t="shared" si="11"/>
        <v>163.09746203333333</v>
      </c>
      <c r="CB21">
        <f t="shared" si="6"/>
        <v>356250</v>
      </c>
    </row>
    <row r="22" spans="1:80" x14ac:dyDescent="0.25">
      <c r="A22" s="25">
        <f t="shared" si="5"/>
        <v>1597</v>
      </c>
      <c r="B22" s="25">
        <v>697</v>
      </c>
      <c r="C22" s="25">
        <f t="shared" si="7"/>
        <v>683060</v>
      </c>
      <c r="D22" s="25">
        <f t="shared" si="8"/>
        <v>337493.11540000001</v>
      </c>
      <c r="E22" s="27">
        <f t="shared" si="10"/>
        <v>512534.37970000005</v>
      </c>
      <c r="F22" s="27">
        <f t="shared" si="0"/>
        <v>512534.37970000005</v>
      </c>
      <c r="G22" s="25">
        <f t="shared" si="9"/>
        <v>468016.27779200004</v>
      </c>
      <c r="H22" s="26"/>
      <c r="I22" s="25"/>
      <c r="J22" s="25"/>
      <c r="K22" s="25"/>
      <c r="L22" s="25"/>
      <c r="M22" s="25">
        <f t="shared" si="1"/>
        <v>0</v>
      </c>
      <c r="U22" s="11">
        <f t="shared" si="2"/>
        <v>0</v>
      </c>
      <c r="V22" s="11"/>
      <c r="AO22" s="11">
        <f t="shared" si="3"/>
        <v>0</v>
      </c>
      <c r="BW22" s="11">
        <f t="shared" si="4"/>
        <v>512534.37970000005</v>
      </c>
      <c r="BZ22" s="8">
        <v>4</v>
      </c>
      <c r="CA22" s="11">
        <f t="shared" si="11"/>
        <v>128.13359492500001</v>
      </c>
      <c r="CB22">
        <f t="shared" si="6"/>
        <v>475000</v>
      </c>
    </row>
    <row r="23" spans="1:80" x14ac:dyDescent="0.25">
      <c r="A23" s="25">
        <f t="shared" si="5"/>
        <v>1598</v>
      </c>
      <c r="B23" s="25">
        <v>3071.5</v>
      </c>
      <c r="C23" s="25">
        <f t="shared" si="7"/>
        <v>3010070</v>
      </c>
      <c r="D23" s="25">
        <f t="shared" si="8"/>
        <v>1487245.4863</v>
      </c>
      <c r="E23" s="27">
        <f t="shared" si="10"/>
        <v>520378.55253999995</v>
      </c>
      <c r="F23" s="27">
        <f t="shared" si="0"/>
        <v>520378.55253999995</v>
      </c>
      <c r="G23" s="25">
        <f t="shared" si="9"/>
        <v>546002.85048399994</v>
      </c>
      <c r="H23" s="26"/>
      <c r="I23" s="25"/>
      <c r="J23" s="25"/>
      <c r="K23" s="25"/>
      <c r="L23" s="25"/>
      <c r="M23" s="25">
        <f t="shared" si="1"/>
        <v>0</v>
      </c>
      <c r="U23" s="11">
        <f t="shared" si="2"/>
        <v>0</v>
      </c>
      <c r="V23" s="11"/>
      <c r="AO23" s="11">
        <f t="shared" si="3"/>
        <v>0</v>
      </c>
      <c r="BW23" s="11">
        <f t="shared" si="4"/>
        <v>520378.55253999995</v>
      </c>
      <c r="BZ23" s="28">
        <f>BZ22</f>
        <v>4</v>
      </c>
      <c r="CA23" s="11">
        <f t="shared" si="11"/>
        <v>130.094638135</v>
      </c>
      <c r="CB23">
        <f t="shared" si="6"/>
        <v>475000</v>
      </c>
    </row>
    <row r="24" spans="1:80" x14ac:dyDescent="0.25">
      <c r="A24" s="25">
        <f t="shared" si="5"/>
        <v>1599</v>
      </c>
      <c r="B24" s="25">
        <v>519</v>
      </c>
      <c r="C24" s="25">
        <f t="shared" si="7"/>
        <v>508620</v>
      </c>
      <c r="D24" s="25">
        <f t="shared" si="8"/>
        <v>251304.05579999997</v>
      </c>
      <c r="E24" s="27">
        <f t="shared" si="10"/>
        <v>559212.05018000002</v>
      </c>
      <c r="F24" s="27">
        <f t="shared" si="0"/>
        <v>559212.05018000002</v>
      </c>
      <c r="G24" s="25">
        <f t="shared" si="9"/>
        <v>526566.733336</v>
      </c>
      <c r="H24" s="26"/>
      <c r="I24" s="25"/>
      <c r="J24" s="25"/>
      <c r="K24" s="25"/>
      <c r="L24" s="25"/>
      <c r="M24" s="25">
        <f t="shared" si="1"/>
        <v>0</v>
      </c>
      <c r="U24" s="11">
        <f t="shared" si="2"/>
        <v>0</v>
      </c>
      <c r="V24" s="11"/>
      <c r="AO24" s="11">
        <f t="shared" si="3"/>
        <v>0</v>
      </c>
      <c r="BW24" s="11">
        <f t="shared" si="4"/>
        <v>559212.05018000002</v>
      </c>
      <c r="BZ24" s="28">
        <f t="shared" ref="BZ24:BZ29" si="12">BZ23</f>
        <v>4</v>
      </c>
      <c r="CA24" s="11">
        <f t="shared" si="11"/>
        <v>139.803012545</v>
      </c>
      <c r="CB24">
        <f t="shared" si="6"/>
        <v>475000</v>
      </c>
    </row>
    <row r="25" spans="1:80" x14ac:dyDescent="0.25">
      <c r="A25" s="25">
        <f t="shared" si="5"/>
        <v>1600</v>
      </c>
      <c r="B25" s="25">
        <v>532</v>
      </c>
      <c r="C25" s="25">
        <f t="shared" si="7"/>
        <v>521360</v>
      </c>
      <c r="D25" s="25">
        <f t="shared" si="8"/>
        <v>257598.76239999998</v>
      </c>
      <c r="E25" s="27">
        <f t="shared" si="10"/>
        <v>648596.88390000002</v>
      </c>
      <c r="F25" s="27">
        <f t="shared" si="0"/>
        <v>648596.88390000002</v>
      </c>
      <c r="G25" s="25">
        <f t="shared" si="9"/>
        <v>514858.57906000002</v>
      </c>
      <c r="H25" s="26"/>
      <c r="I25" s="25"/>
      <c r="J25" s="25"/>
      <c r="K25" s="25"/>
      <c r="L25" s="25"/>
      <c r="M25" s="25">
        <f t="shared" si="1"/>
        <v>0</v>
      </c>
      <c r="U25" s="11">
        <f t="shared" si="2"/>
        <v>0</v>
      </c>
      <c r="V25" s="11"/>
      <c r="AO25" s="11">
        <f t="shared" si="3"/>
        <v>0</v>
      </c>
      <c r="BW25" s="11">
        <f t="shared" si="4"/>
        <v>648596.88390000002</v>
      </c>
      <c r="BZ25" s="28">
        <f t="shared" si="12"/>
        <v>4</v>
      </c>
      <c r="CA25" s="11">
        <f t="shared" si="11"/>
        <v>162.14922097499999</v>
      </c>
      <c r="CB25">
        <f t="shared" si="6"/>
        <v>475000</v>
      </c>
    </row>
    <row r="26" spans="1:80" x14ac:dyDescent="0.25">
      <c r="A26" s="25">
        <f t="shared" si="5"/>
        <v>1601</v>
      </c>
      <c r="B26" s="25">
        <v>955</v>
      </c>
      <c r="C26" s="25">
        <f t="shared" si="7"/>
        <v>935900</v>
      </c>
      <c r="D26" s="25">
        <f t="shared" si="8"/>
        <v>462418.83099999995</v>
      </c>
      <c r="E26" s="27">
        <f t="shared" si="10"/>
        <v>392111.80035999994</v>
      </c>
      <c r="F26" s="27">
        <f t="shared" si="0"/>
        <v>392111.80035999994</v>
      </c>
      <c r="G26" s="25">
        <f t="shared" si="9"/>
        <v>533810.48800799996</v>
      </c>
      <c r="H26" s="26"/>
      <c r="I26" s="25"/>
      <c r="J26" s="25"/>
      <c r="K26" s="25"/>
      <c r="L26" s="25"/>
      <c r="M26" s="25">
        <f t="shared" si="1"/>
        <v>0</v>
      </c>
      <c r="U26" s="11">
        <f t="shared" si="2"/>
        <v>0</v>
      </c>
      <c r="V26" s="11"/>
      <c r="AO26" s="11">
        <f t="shared" si="3"/>
        <v>0</v>
      </c>
      <c r="BW26" s="11">
        <f t="shared" si="4"/>
        <v>392111.80035999994</v>
      </c>
      <c r="BZ26" s="28">
        <f t="shared" si="12"/>
        <v>4</v>
      </c>
      <c r="CA26" s="11">
        <f t="shared" si="11"/>
        <v>98.02795008999999</v>
      </c>
      <c r="CB26">
        <f t="shared" si="6"/>
        <v>475000</v>
      </c>
    </row>
    <row r="27" spans="1:80" x14ac:dyDescent="0.25">
      <c r="A27" s="25">
        <f t="shared" si="5"/>
        <v>1602</v>
      </c>
      <c r="B27" s="25">
        <v>1620</v>
      </c>
      <c r="C27" s="25">
        <f t="shared" si="7"/>
        <v>1587600</v>
      </c>
      <c r="D27" s="25">
        <f t="shared" si="8"/>
        <v>784417.28399999999</v>
      </c>
      <c r="E27" s="27">
        <f t="shared" si="10"/>
        <v>453993.60832</v>
      </c>
      <c r="F27" s="27">
        <f t="shared" si="0"/>
        <v>453993.60832</v>
      </c>
      <c r="G27" s="25">
        <f t="shared" si="9"/>
        <v>575985.02222799999</v>
      </c>
      <c r="H27" s="26"/>
      <c r="I27" s="25"/>
      <c r="J27" s="25"/>
      <c r="K27" s="25"/>
      <c r="L27" s="25"/>
      <c r="M27" s="25">
        <f t="shared" si="1"/>
        <v>0</v>
      </c>
      <c r="U27" s="11">
        <f t="shared" si="2"/>
        <v>0</v>
      </c>
      <c r="V27" s="11"/>
      <c r="AO27" s="11">
        <f t="shared" si="3"/>
        <v>0</v>
      </c>
      <c r="BW27" s="11">
        <f t="shared" si="4"/>
        <v>453993.60832</v>
      </c>
      <c r="BZ27" s="28">
        <f t="shared" si="12"/>
        <v>4</v>
      </c>
      <c r="CA27" s="11">
        <f t="shared" si="11"/>
        <v>113.49840208000001</v>
      </c>
      <c r="CB27">
        <f t="shared" si="6"/>
        <v>475000</v>
      </c>
    </row>
    <row r="28" spans="1:80" x14ac:dyDescent="0.25">
      <c r="A28" s="25">
        <f t="shared" si="5"/>
        <v>1603</v>
      </c>
      <c r="B28" s="25">
        <v>423</v>
      </c>
      <c r="C28" s="25">
        <f t="shared" si="7"/>
        <v>414540</v>
      </c>
      <c r="D28" s="25">
        <f t="shared" si="8"/>
        <v>204820.0686</v>
      </c>
      <c r="E28" s="27">
        <f t="shared" si="10"/>
        <v>615138.09727999999</v>
      </c>
      <c r="F28" s="27">
        <f t="shared" si="0"/>
        <v>615138.09727999999</v>
      </c>
      <c r="G28" s="25">
        <f t="shared" si="9"/>
        <v>625287.10115200002</v>
      </c>
      <c r="H28" s="26"/>
      <c r="I28" s="25"/>
      <c r="J28" s="25"/>
      <c r="K28" s="25"/>
      <c r="L28" s="25"/>
      <c r="M28" s="25">
        <f t="shared" si="1"/>
        <v>0</v>
      </c>
      <c r="U28" s="11">
        <f t="shared" si="2"/>
        <v>0</v>
      </c>
      <c r="V28" s="11"/>
      <c r="AO28" s="11">
        <f t="shared" si="3"/>
        <v>0</v>
      </c>
      <c r="BW28" s="11">
        <f t="shared" si="4"/>
        <v>615138.09727999999</v>
      </c>
      <c r="BZ28" s="28">
        <f t="shared" si="12"/>
        <v>4</v>
      </c>
      <c r="CA28" s="11">
        <f t="shared" si="11"/>
        <v>153.78452432</v>
      </c>
      <c r="CB28">
        <f t="shared" si="6"/>
        <v>475000</v>
      </c>
    </row>
    <row r="29" spans="1:80" x14ac:dyDescent="0.25">
      <c r="A29" s="25">
        <f t="shared" si="5"/>
        <v>1604</v>
      </c>
      <c r="B29" s="25">
        <v>1158</v>
      </c>
      <c r="C29" s="25">
        <f t="shared" si="7"/>
        <v>1134840</v>
      </c>
      <c r="D29" s="25">
        <f t="shared" si="8"/>
        <v>560713.0956</v>
      </c>
      <c r="E29" s="27">
        <f t="shared" si="10"/>
        <v>770084.72127999994</v>
      </c>
      <c r="F29" s="27">
        <f t="shared" si="0"/>
        <v>770084.72127999994</v>
      </c>
      <c r="G29" s="25">
        <f t="shared" si="9"/>
        <v>760574.87223199999</v>
      </c>
      <c r="H29" s="26"/>
      <c r="I29" s="25"/>
      <c r="J29" s="25"/>
      <c r="K29" s="25"/>
      <c r="L29" s="25"/>
      <c r="M29" s="25">
        <f t="shared" si="1"/>
        <v>0</v>
      </c>
      <c r="U29" s="11">
        <f t="shared" si="2"/>
        <v>0</v>
      </c>
      <c r="V29" s="11"/>
      <c r="AO29" s="11">
        <f t="shared" si="3"/>
        <v>0</v>
      </c>
      <c r="BW29" s="11">
        <f t="shared" si="4"/>
        <v>770084.72127999994</v>
      </c>
      <c r="BZ29" s="28">
        <f t="shared" si="12"/>
        <v>4</v>
      </c>
      <c r="CA29" s="11">
        <f t="shared" si="11"/>
        <v>192.52118031999998</v>
      </c>
      <c r="CB29">
        <f t="shared" si="6"/>
        <v>475000</v>
      </c>
    </row>
    <row r="30" spans="1:80" x14ac:dyDescent="0.25">
      <c r="A30" s="25">
        <f t="shared" si="5"/>
        <v>1605</v>
      </c>
      <c r="B30" s="25">
        <v>2196</v>
      </c>
      <c r="C30" s="25">
        <f t="shared" si="7"/>
        <v>2152080</v>
      </c>
      <c r="D30" s="25">
        <f t="shared" si="8"/>
        <v>1063321.2071999998</v>
      </c>
      <c r="E30" s="27">
        <f t="shared" si="10"/>
        <v>895107.27851999993</v>
      </c>
      <c r="F30" s="27">
        <f t="shared" si="0"/>
        <v>895107.27851999993</v>
      </c>
      <c r="G30" s="25">
        <f t="shared" si="9"/>
        <v>903416.29123199987</v>
      </c>
      <c r="H30" s="26"/>
      <c r="I30" s="25"/>
      <c r="J30" s="25"/>
      <c r="K30" s="25"/>
      <c r="L30" s="25"/>
      <c r="M30" s="25">
        <f t="shared" si="1"/>
        <v>0</v>
      </c>
      <c r="U30" s="11">
        <f t="shared" si="2"/>
        <v>0</v>
      </c>
      <c r="V30" s="11"/>
      <c r="AO30" s="11">
        <f t="shared" si="3"/>
        <v>0</v>
      </c>
      <c r="BW30" s="11">
        <f t="shared" si="4"/>
        <v>895107.27851999993</v>
      </c>
      <c r="BZ30" s="8">
        <v>3</v>
      </c>
      <c r="CA30" s="11">
        <f t="shared" si="11"/>
        <v>298.36909284000001</v>
      </c>
      <c r="CB30">
        <f t="shared" si="6"/>
        <v>356250</v>
      </c>
    </row>
    <row r="31" spans="1:80" x14ac:dyDescent="0.25">
      <c r="A31" s="25">
        <f t="shared" si="5"/>
        <v>1606</v>
      </c>
      <c r="B31" s="25">
        <v>2555</v>
      </c>
      <c r="C31" s="25">
        <f t="shared" si="7"/>
        <v>2503900</v>
      </c>
      <c r="D31" s="25">
        <f t="shared" si="8"/>
        <v>1237151.9509999999</v>
      </c>
      <c r="E31" s="27">
        <f t="shared" si="10"/>
        <v>1068550.65576</v>
      </c>
      <c r="F31" s="27">
        <f t="shared" si="0"/>
        <v>1068550.65576</v>
      </c>
      <c r="G31" s="25">
        <f t="shared" si="9"/>
        <v>1022860.770008</v>
      </c>
      <c r="H31" s="26"/>
      <c r="I31" s="25"/>
      <c r="J31" s="25"/>
      <c r="K31" s="25"/>
      <c r="L31" s="25"/>
      <c r="M31" s="25">
        <f t="shared" si="1"/>
        <v>0</v>
      </c>
      <c r="U31" s="11">
        <f t="shared" si="2"/>
        <v>0</v>
      </c>
      <c r="V31" s="11"/>
      <c r="AO31" s="11">
        <f t="shared" si="3"/>
        <v>0</v>
      </c>
      <c r="AY31" s="11"/>
      <c r="BW31" s="11">
        <f t="shared" si="4"/>
        <v>1068550.65576</v>
      </c>
      <c r="BZ31" s="28">
        <v>3</v>
      </c>
      <c r="CA31" s="11">
        <f t="shared" si="11"/>
        <v>356.18355192000001</v>
      </c>
      <c r="CB31">
        <f t="shared" si="6"/>
        <v>356250</v>
      </c>
    </row>
    <row r="32" spans="1:80" x14ac:dyDescent="0.25">
      <c r="A32" s="25">
        <f t="shared" si="5"/>
        <v>1607</v>
      </c>
      <c r="B32" s="25">
        <v>2911</v>
      </c>
      <c r="C32" s="25">
        <f t="shared" si="7"/>
        <v>2852780</v>
      </c>
      <c r="D32" s="25">
        <f t="shared" si="8"/>
        <v>1409530.0702</v>
      </c>
      <c r="E32" s="27">
        <f t="shared" si="10"/>
        <v>1168200.7033199999</v>
      </c>
      <c r="F32" s="27">
        <f t="shared" si="0"/>
        <v>1168200.7033199999</v>
      </c>
      <c r="G32" s="25">
        <f t="shared" si="9"/>
        <v>1109843.9310559998</v>
      </c>
      <c r="H32" s="26"/>
      <c r="I32" s="25"/>
      <c r="J32" s="25"/>
      <c r="K32" s="25"/>
      <c r="L32" s="25"/>
      <c r="M32" s="25">
        <f t="shared" si="1"/>
        <v>0</v>
      </c>
      <c r="U32" s="11">
        <f t="shared" si="2"/>
        <v>0</v>
      </c>
      <c r="V32" s="11"/>
      <c r="AO32" s="11">
        <f t="shared" si="3"/>
        <v>0</v>
      </c>
      <c r="AY32" s="11"/>
      <c r="BW32" s="11">
        <f t="shared" si="4"/>
        <v>1168200.7033199999</v>
      </c>
      <c r="BZ32" s="28">
        <v>3</v>
      </c>
      <c r="CA32" s="11">
        <f t="shared" si="11"/>
        <v>389.40023443999996</v>
      </c>
      <c r="CB32">
        <f t="shared" si="6"/>
        <v>356250</v>
      </c>
    </row>
    <row r="33" spans="1:86" x14ac:dyDescent="0.25">
      <c r="A33" s="25">
        <f t="shared" si="5"/>
        <v>1608</v>
      </c>
      <c r="B33" s="25">
        <v>2214</v>
      </c>
      <c r="C33" s="25">
        <f t="shared" si="7"/>
        <v>2169720</v>
      </c>
      <c r="D33" s="25">
        <f t="shared" si="8"/>
        <v>1072036.9547999999</v>
      </c>
      <c r="E33" s="27">
        <f t="shared" si="10"/>
        <v>1212360.49116</v>
      </c>
      <c r="F33" s="27">
        <f t="shared" si="0"/>
        <v>1212360.49116</v>
      </c>
      <c r="G33" s="25">
        <f t="shared" si="9"/>
        <v>1162719.4664959998</v>
      </c>
      <c r="H33" s="26"/>
      <c r="I33" s="25"/>
      <c r="J33" s="25"/>
      <c r="K33" s="25"/>
      <c r="L33" s="25"/>
      <c r="M33" s="25">
        <f t="shared" si="1"/>
        <v>0</v>
      </c>
      <c r="U33" s="11">
        <f t="shared" si="2"/>
        <v>0</v>
      </c>
      <c r="V33" s="11"/>
      <c r="AO33" s="11">
        <f t="shared" si="3"/>
        <v>0</v>
      </c>
      <c r="AY33" s="11"/>
      <c r="BW33" s="11">
        <f t="shared" si="4"/>
        <v>1212360.49116</v>
      </c>
      <c r="BZ33" s="28">
        <v>3</v>
      </c>
      <c r="CA33" s="11">
        <f t="shared" si="11"/>
        <v>404.12016371999999</v>
      </c>
      <c r="CB33">
        <f t="shared" si="6"/>
        <v>356250</v>
      </c>
    </row>
    <row r="34" spans="1:86" x14ac:dyDescent="0.25">
      <c r="A34" s="25">
        <f t="shared" si="5"/>
        <v>1609</v>
      </c>
      <c r="B34" s="25">
        <v>2187</v>
      </c>
      <c r="C34" s="25">
        <f t="shared" si="7"/>
        <v>2143260</v>
      </c>
      <c r="D34" s="25">
        <f t="shared" si="8"/>
        <v>1058963.3333999999</v>
      </c>
      <c r="E34" s="27">
        <f t="shared" si="10"/>
        <v>1205000.5265199998</v>
      </c>
      <c r="F34" s="27">
        <f t="shared" si="0"/>
        <v>1205000.5265199998</v>
      </c>
      <c r="G34" s="25">
        <f t="shared" si="9"/>
        <v>1237907.3157919999</v>
      </c>
      <c r="H34" s="26"/>
      <c r="I34" s="25"/>
      <c r="J34" s="25"/>
      <c r="K34" s="25"/>
      <c r="L34" s="25"/>
      <c r="M34" s="25">
        <f t="shared" si="1"/>
        <v>0</v>
      </c>
      <c r="U34" s="28"/>
      <c r="V34" s="11"/>
      <c r="AO34" s="11">
        <f t="shared" si="3"/>
        <v>0</v>
      </c>
      <c r="AY34" s="11"/>
      <c r="BW34" s="11">
        <f t="shared" si="4"/>
        <v>1205000.5265199998</v>
      </c>
      <c r="BZ34" s="28">
        <v>3</v>
      </c>
      <c r="CA34" s="11">
        <f t="shared" si="11"/>
        <v>401.66684217333329</v>
      </c>
      <c r="CB34">
        <f t="shared" si="6"/>
        <v>356250</v>
      </c>
    </row>
    <row r="35" spans="1:86" x14ac:dyDescent="0.25">
      <c r="A35" s="25">
        <f t="shared" si="5"/>
        <v>1610</v>
      </c>
      <c r="B35" s="25">
        <v>2652</v>
      </c>
      <c r="C35" s="25">
        <f t="shared" si="7"/>
        <v>2598960</v>
      </c>
      <c r="D35" s="25">
        <f t="shared" si="8"/>
        <v>1284120.1464</v>
      </c>
      <c r="E35" s="27">
        <f t="shared" si="10"/>
        <v>1159484.95572</v>
      </c>
      <c r="F35" s="27">
        <f t="shared" si="0"/>
        <v>1159484.95572</v>
      </c>
      <c r="G35" s="25">
        <f t="shared" si="9"/>
        <v>1288148.7586239998</v>
      </c>
      <c r="H35" s="26"/>
      <c r="I35" s="25"/>
      <c r="J35" s="25"/>
      <c r="K35" s="25"/>
      <c r="L35" s="25"/>
      <c r="M35" s="25">
        <f t="shared" si="1"/>
        <v>0</v>
      </c>
      <c r="U35" s="28"/>
      <c r="V35" s="11"/>
      <c r="AO35" s="11">
        <f t="shared" si="3"/>
        <v>0</v>
      </c>
      <c r="AY35" s="11"/>
      <c r="BW35" s="11">
        <f t="shared" si="4"/>
        <v>1159484.95572</v>
      </c>
      <c r="BZ35" s="28">
        <f t="shared" ref="BZ35:BZ44" si="13">BZ34+2</f>
        <v>5</v>
      </c>
      <c r="CA35" s="11">
        <f t="shared" si="11"/>
        <v>231.896991144</v>
      </c>
      <c r="CB35">
        <f t="shared" si="6"/>
        <v>593750</v>
      </c>
      <c r="CH35" s="11">
        <f t="shared" ref="CH35:CH75" si="14">BW35-F35</f>
        <v>0</v>
      </c>
    </row>
    <row r="36" spans="1:86" x14ac:dyDescent="0.25">
      <c r="A36" s="25">
        <f t="shared" si="5"/>
        <v>1611</v>
      </c>
      <c r="B36" s="25">
        <v>2479</v>
      </c>
      <c r="C36" s="25">
        <f t="shared" si="7"/>
        <v>2429420</v>
      </c>
      <c r="D36" s="25">
        <f t="shared" si="8"/>
        <v>1200352.1277999999</v>
      </c>
      <c r="E36" s="27">
        <f t="shared" si="10"/>
        <v>1444489.90224</v>
      </c>
      <c r="F36" s="27">
        <f t="shared" si="0"/>
        <v>1444489.90224</v>
      </c>
      <c r="G36" s="25">
        <f t="shared" si="9"/>
        <v>1308533.9238439999</v>
      </c>
      <c r="H36" s="26"/>
      <c r="I36" s="25"/>
      <c r="J36" s="25"/>
      <c r="K36" s="25"/>
      <c r="L36" s="25"/>
      <c r="M36" s="25">
        <f t="shared" si="1"/>
        <v>0</v>
      </c>
      <c r="U36" s="28"/>
      <c r="V36" s="11"/>
      <c r="AO36" s="11">
        <f t="shared" si="3"/>
        <v>0</v>
      </c>
      <c r="AY36" s="11"/>
      <c r="BW36" s="11">
        <f t="shared" si="4"/>
        <v>1444489.90224</v>
      </c>
      <c r="BZ36" s="28">
        <f t="shared" si="13"/>
        <v>7</v>
      </c>
      <c r="CA36" s="11">
        <f t="shared" si="11"/>
        <v>206.35570032000001</v>
      </c>
      <c r="CB36">
        <f t="shared" si="6"/>
        <v>831250</v>
      </c>
      <c r="CH36" s="11">
        <f t="shared" si="14"/>
        <v>0</v>
      </c>
    </row>
    <row r="37" spans="1:86" x14ac:dyDescent="0.25">
      <c r="A37" s="25">
        <f t="shared" si="5"/>
        <v>1612</v>
      </c>
      <c r="B37" s="25">
        <v>2441</v>
      </c>
      <c r="C37" s="25">
        <f t="shared" si="7"/>
        <v>2392180</v>
      </c>
      <c r="D37" s="25">
        <f t="shared" si="8"/>
        <v>1181952.2161999999</v>
      </c>
      <c r="E37" s="27">
        <f t="shared" si="10"/>
        <v>1419407.9174799998</v>
      </c>
      <c r="F37" s="27">
        <f t="shared" si="0"/>
        <v>1419407.9174799998</v>
      </c>
      <c r="G37" s="25">
        <f t="shared" si="9"/>
        <v>1324328.7953279999</v>
      </c>
      <c r="H37" s="26"/>
      <c r="I37" s="25"/>
      <c r="J37" s="25"/>
      <c r="K37" s="25"/>
      <c r="L37" s="25"/>
      <c r="M37" s="25">
        <f t="shared" si="1"/>
        <v>0</v>
      </c>
      <c r="U37" s="28"/>
      <c r="V37" s="11"/>
      <c r="AO37" s="11">
        <f t="shared" si="3"/>
        <v>0</v>
      </c>
      <c r="AY37" s="11"/>
      <c r="BW37" s="11">
        <f t="shared" si="4"/>
        <v>1419407.9174799998</v>
      </c>
      <c r="BZ37" s="28">
        <f t="shared" si="13"/>
        <v>9</v>
      </c>
      <c r="CA37" s="11">
        <f t="shared" si="11"/>
        <v>157.71199083111108</v>
      </c>
      <c r="CB37">
        <f t="shared" si="6"/>
        <v>1068750</v>
      </c>
      <c r="CH37" s="11">
        <f t="shared" si="14"/>
        <v>0</v>
      </c>
    </row>
    <row r="38" spans="1:86" x14ac:dyDescent="0.25">
      <c r="A38" s="25">
        <f t="shared" si="5"/>
        <v>1613</v>
      </c>
      <c r="B38" s="25">
        <v>5157</v>
      </c>
      <c r="C38" s="25">
        <f t="shared" si="7"/>
        <v>5053860</v>
      </c>
      <c r="D38" s="25">
        <f t="shared" si="8"/>
        <v>2497061.6873999997</v>
      </c>
      <c r="E38" s="27">
        <f t="shared" si="10"/>
        <v>1314286.3172599997</v>
      </c>
      <c r="F38" s="27">
        <f t="shared" si="0"/>
        <v>1314286.3172599997</v>
      </c>
      <c r="G38" s="25">
        <f t="shared" si="9"/>
        <v>1341653.7647239999</v>
      </c>
      <c r="H38" s="26"/>
      <c r="I38" s="25"/>
      <c r="J38" s="25"/>
      <c r="K38" s="25"/>
      <c r="L38" s="25"/>
      <c r="M38" s="25">
        <f t="shared" si="1"/>
        <v>0</v>
      </c>
      <c r="U38" s="28"/>
      <c r="V38" s="11"/>
      <c r="AO38" s="11">
        <f t="shared" si="3"/>
        <v>0</v>
      </c>
      <c r="AY38" s="11"/>
      <c r="BW38" s="11">
        <f t="shared" si="4"/>
        <v>1314286.3172599997</v>
      </c>
      <c r="BZ38" s="28">
        <f t="shared" si="13"/>
        <v>11</v>
      </c>
      <c r="CA38" s="11">
        <f t="shared" si="11"/>
        <v>119.48057429636361</v>
      </c>
      <c r="CB38">
        <f t="shared" si="6"/>
        <v>1306250</v>
      </c>
      <c r="CH38" s="11">
        <f t="shared" si="14"/>
        <v>0</v>
      </c>
    </row>
    <row r="39" spans="1:86" x14ac:dyDescent="0.25">
      <c r="A39" s="25">
        <f t="shared" si="5"/>
        <v>1614</v>
      </c>
      <c r="B39" s="25">
        <v>1928</v>
      </c>
      <c r="C39" s="25">
        <f t="shared" si="7"/>
        <v>1889440</v>
      </c>
      <c r="D39" s="25">
        <f t="shared" si="8"/>
        <v>933553.4095999999</v>
      </c>
      <c r="E39" s="27">
        <f t="shared" si="10"/>
        <v>1283974.8839399999</v>
      </c>
      <c r="F39" s="27">
        <f t="shared" si="0"/>
        <v>1283974.8839399999</v>
      </c>
      <c r="G39" s="25">
        <f t="shared" si="9"/>
        <v>1250225.5723999997</v>
      </c>
      <c r="H39" s="26"/>
      <c r="I39" s="25"/>
      <c r="J39" s="25"/>
      <c r="K39" s="25"/>
      <c r="L39" s="25"/>
      <c r="M39" s="25">
        <f t="shared" si="1"/>
        <v>0</v>
      </c>
      <c r="U39" s="28"/>
      <c r="V39" s="11"/>
      <c r="AO39" s="11">
        <f t="shared" si="3"/>
        <v>0</v>
      </c>
      <c r="AY39" s="11"/>
      <c r="BW39" s="11">
        <f t="shared" si="4"/>
        <v>1283974.8839399999</v>
      </c>
      <c r="BZ39" s="28">
        <f t="shared" si="13"/>
        <v>13</v>
      </c>
      <c r="CA39" s="11">
        <f t="shared" si="11"/>
        <v>98.767298764615376</v>
      </c>
      <c r="CB39">
        <f t="shared" si="6"/>
        <v>1543750</v>
      </c>
      <c r="CH39" s="11">
        <f t="shared" si="14"/>
        <v>0</v>
      </c>
    </row>
    <row r="40" spans="1:86" x14ac:dyDescent="0.25">
      <c r="A40" s="25">
        <f t="shared" si="5"/>
        <v>1615</v>
      </c>
      <c r="B40" s="25">
        <v>1566.5</v>
      </c>
      <c r="C40" s="25">
        <f t="shared" si="7"/>
        <v>1535170</v>
      </c>
      <c r="D40" s="25">
        <f t="shared" si="8"/>
        <v>758512.14529999997</v>
      </c>
      <c r="E40" s="27">
        <f t="shared" si="10"/>
        <v>1246109.8026999999</v>
      </c>
      <c r="F40" s="27">
        <f t="shared" si="0"/>
        <v>1246109.8026999999</v>
      </c>
      <c r="G40" s="25">
        <f t="shared" si="9"/>
        <v>1169333.7505079999</v>
      </c>
      <c r="H40" s="26"/>
      <c r="I40" s="25"/>
      <c r="J40" s="25"/>
      <c r="K40" s="25"/>
      <c r="L40" s="25"/>
      <c r="M40" s="25">
        <f t="shared" si="1"/>
        <v>0</v>
      </c>
      <c r="U40" s="28"/>
      <c r="V40" s="11"/>
      <c r="AO40" s="11">
        <f t="shared" si="3"/>
        <v>0</v>
      </c>
      <c r="AY40" s="11"/>
      <c r="BW40" s="11">
        <f t="shared" si="4"/>
        <v>1246109.8026999999</v>
      </c>
      <c r="BZ40" s="28">
        <f t="shared" si="13"/>
        <v>15</v>
      </c>
      <c r="CA40" s="11">
        <f t="shared" si="11"/>
        <v>83.073986846666656</v>
      </c>
      <c r="CB40">
        <f t="shared" si="6"/>
        <v>1781250</v>
      </c>
      <c r="CH40" s="11">
        <f t="shared" si="14"/>
        <v>0</v>
      </c>
    </row>
    <row r="41" spans="1:86" x14ac:dyDescent="0.25">
      <c r="A41" s="25">
        <f t="shared" si="5"/>
        <v>1616</v>
      </c>
      <c r="B41" s="25">
        <v>2166</v>
      </c>
      <c r="C41" s="25">
        <f t="shared" si="7"/>
        <v>2122680</v>
      </c>
      <c r="D41" s="25">
        <f t="shared" si="8"/>
        <v>1048794.9612</v>
      </c>
      <c r="E41" s="27">
        <f t="shared" si="10"/>
        <v>987348.94061999989</v>
      </c>
      <c r="F41" s="27">
        <f t="shared" si="0"/>
        <v>987348.94061999989</v>
      </c>
      <c r="G41" s="25">
        <f t="shared" si="9"/>
        <v>1127953.3177360001</v>
      </c>
      <c r="H41" s="26"/>
      <c r="I41" s="25"/>
      <c r="J41" s="25"/>
      <c r="K41" s="25"/>
      <c r="L41" s="25"/>
      <c r="M41" s="25">
        <f t="shared" si="1"/>
        <v>0</v>
      </c>
      <c r="U41" s="28"/>
      <c r="V41" s="11"/>
      <c r="AO41" s="11">
        <f t="shared" si="3"/>
        <v>0</v>
      </c>
      <c r="AY41" s="11"/>
      <c r="BW41" s="11">
        <f t="shared" si="4"/>
        <v>987348.94061999989</v>
      </c>
      <c r="BZ41" s="28">
        <f t="shared" si="13"/>
        <v>17</v>
      </c>
      <c r="CA41" s="11">
        <f t="shared" si="11"/>
        <v>58.079349448235291</v>
      </c>
      <c r="CB41">
        <f t="shared" si="6"/>
        <v>2018750</v>
      </c>
      <c r="CH41" s="11">
        <f t="shared" si="14"/>
        <v>0</v>
      </c>
    </row>
    <row r="42" spans="1:86" x14ac:dyDescent="0.25">
      <c r="A42" s="25">
        <f t="shared" si="5"/>
        <v>1617</v>
      </c>
      <c r="B42" s="25">
        <v>2050</v>
      </c>
      <c r="C42" s="25">
        <f t="shared" si="7"/>
        <v>2009000</v>
      </c>
      <c r="D42" s="25">
        <f t="shared" si="8"/>
        <v>992626.80999999994</v>
      </c>
      <c r="E42" s="27">
        <f t="shared" si="10"/>
        <v>1014948.80802</v>
      </c>
      <c r="F42" s="27">
        <f t="shared" si="0"/>
        <v>1014948.80802</v>
      </c>
      <c r="G42" s="25">
        <f t="shared" si="9"/>
        <v>1079813.338492</v>
      </c>
      <c r="H42" s="26"/>
      <c r="I42" s="25"/>
      <c r="J42" s="25"/>
      <c r="K42" s="25"/>
      <c r="L42" s="25"/>
      <c r="M42" s="25">
        <f t="shared" si="1"/>
        <v>0</v>
      </c>
      <c r="U42" s="28"/>
      <c r="V42" s="11"/>
      <c r="AO42" s="11">
        <f t="shared" si="3"/>
        <v>0</v>
      </c>
      <c r="AY42" s="11"/>
      <c r="BW42" s="11">
        <f t="shared" si="4"/>
        <v>1014948.80802</v>
      </c>
      <c r="BZ42" s="28">
        <f t="shared" si="13"/>
        <v>19</v>
      </c>
      <c r="CA42" s="11">
        <f t="shared" si="11"/>
        <v>53.418358316842102</v>
      </c>
      <c r="CB42">
        <f t="shared" si="6"/>
        <v>2256250</v>
      </c>
      <c r="CH42" s="11">
        <f t="shared" si="14"/>
        <v>0</v>
      </c>
    </row>
    <row r="43" spans="1:86" x14ac:dyDescent="0.25">
      <c r="A43" s="25">
        <f t="shared" si="5"/>
        <v>1618</v>
      </c>
      <c r="B43" s="25">
        <v>2485</v>
      </c>
      <c r="C43" s="25">
        <f t="shared" si="7"/>
        <v>2435300</v>
      </c>
      <c r="D43" s="25">
        <f t="shared" si="8"/>
        <v>1203257.3769999999</v>
      </c>
      <c r="E43" s="27">
        <f t="shared" si="10"/>
        <v>1107384.1534</v>
      </c>
      <c r="F43" s="27">
        <f t="shared" si="0"/>
        <v>1107384.1534</v>
      </c>
      <c r="G43" s="25">
        <f t="shared" si="9"/>
        <v>1067156.1361439999</v>
      </c>
      <c r="H43" s="26"/>
      <c r="I43" s="25"/>
      <c r="J43" s="25"/>
      <c r="K43" s="25"/>
      <c r="L43" s="25"/>
      <c r="M43" s="25">
        <f t="shared" si="1"/>
        <v>0</v>
      </c>
      <c r="U43" s="28"/>
      <c r="V43" s="11"/>
      <c r="AO43" s="11">
        <f t="shared" si="3"/>
        <v>0</v>
      </c>
      <c r="AY43" s="11"/>
      <c r="BW43" s="11">
        <f t="shared" si="4"/>
        <v>1107384.1534</v>
      </c>
      <c r="BZ43" s="28">
        <f t="shared" si="13"/>
        <v>21</v>
      </c>
      <c r="CA43" s="11">
        <f t="shared" si="11"/>
        <v>52.732578733333327</v>
      </c>
      <c r="CB43">
        <f t="shared" si="6"/>
        <v>2493750</v>
      </c>
      <c r="CH43" s="11">
        <f t="shared" si="14"/>
        <v>0</v>
      </c>
    </row>
    <row r="44" spans="1:86" x14ac:dyDescent="0.25">
      <c r="A44" s="25">
        <f t="shared" si="5"/>
        <v>1619</v>
      </c>
      <c r="B44" s="25">
        <v>2213</v>
      </c>
      <c r="C44" s="25">
        <f t="shared" si="7"/>
        <v>2168740</v>
      </c>
      <c r="D44" s="25">
        <f t="shared" si="8"/>
        <v>1071552.7466</v>
      </c>
      <c r="E44" s="27">
        <f t="shared" si="10"/>
        <v>1043274.98772</v>
      </c>
      <c r="F44" s="27">
        <f t="shared" si="0"/>
        <v>1043274.98772</v>
      </c>
      <c r="G44" s="25">
        <f t="shared" si="9"/>
        <v>1082834.7976600002</v>
      </c>
      <c r="H44" s="26"/>
      <c r="I44" s="25"/>
      <c r="J44" s="25"/>
      <c r="K44" s="25"/>
      <c r="L44" s="25"/>
      <c r="M44" s="25">
        <f t="shared" si="1"/>
        <v>0</v>
      </c>
      <c r="U44" s="28"/>
      <c r="V44" s="11"/>
      <c r="AO44" s="11">
        <f t="shared" si="3"/>
        <v>0</v>
      </c>
      <c r="AY44" s="11"/>
      <c r="BW44" s="11">
        <f t="shared" si="4"/>
        <v>1043274.98772</v>
      </c>
      <c r="BZ44" s="28">
        <f t="shared" si="13"/>
        <v>23</v>
      </c>
      <c r="CA44" s="11">
        <f t="shared" si="11"/>
        <v>45.359782074782608</v>
      </c>
      <c r="CB44">
        <f t="shared" si="6"/>
        <v>2731250</v>
      </c>
      <c r="CH44" s="11">
        <f t="shared" si="14"/>
        <v>0</v>
      </c>
    </row>
    <row r="45" spans="1:86" x14ac:dyDescent="0.25">
      <c r="A45" s="25">
        <f t="shared" si="5"/>
        <v>1620</v>
      </c>
      <c r="B45" s="25">
        <v>2521</v>
      </c>
      <c r="C45" s="25">
        <f t="shared" si="7"/>
        <v>2470580</v>
      </c>
      <c r="D45" s="25">
        <f t="shared" si="8"/>
        <v>1220688.8721999999</v>
      </c>
      <c r="E45" s="27">
        <f t="shared" si="10"/>
        <v>1182823.7909599999</v>
      </c>
      <c r="F45" s="27">
        <f t="shared" si="0"/>
        <v>1182823.7909599999</v>
      </c>
      <c r="G45" s="25">
        <f t="shared" si="9"/>
        <v>1099704.6113479999</v>
      </c>
      <c r="H45" s="26"/>
      <c r="I45" s="25"/>
      <c r="J45" s="25"/>
      <c r="K45" s="25"/>
      <c r="L45" s="25"/>
      <c r="M45" s="25">
        <f t="shared" si="1"/>
        <v>0</v>
      </c>
      <c r="U45" s="28"/>
      <c r="V45" s="11"/>
      <c r="AO45" s="11">
        <f t="shared" si="3"/>
        <v>0</v>
      </c>
      <c r="AY45" s="11">
        <f t="shared" ref="AY45:AY103" si="15">SUM(AW43:AW47)/5</f>
        <v>19763.599999999999</v>
      </c>
      <c r="BW45" s="11">
        <f t="shared" si="4"/>
        <v>1182823.7909599999</v>
      </c>
      <c r="BZ45" s="8">
        <v>25</v>
      </c>
      <c r="CA45" s="11">
        <f t="shared" si="11"/>
        <v>47.312951638399994</v>
      </c>
      <c r="CB45">
        <f t="shared" si="6"/>
        <v>2968750</v>
      </c>
      <c r="CH45" s="11">
        <f t="shared" si="14"/>
        <v>0</v>
      </c>
    </row>
    <row r="46" spans="1:86" x14ac:dyDescent="0.25">
      <c r="A46" s="25">
        <f t="shared" si="5"/>
        <v>1621</v>
      </c>
      <c r="B46" s="25">
        <v>1504</v>
      </c>
      <c r="C46" s="25">
        <f t="shared" si="7"/>
        <v>1473920</v>
      </c>
      <c r="D46" s="25">
        <f t="shared" si="8"/>
        <v>728249.1327999999</v>
      </c>
      <c r="E46" s="27">
        <f t="shared" si="10"/>
        <v>1065742.2482</v>
      </c>
      <c r="F46" s="27">
        <f t="shared" si="0"/>
        <v>1065742.2482</v>
      </c>
      <c r="G46" s="25">
        <f t="shared" si="9"/>
        <v>1052010.1036479999</v>
      </c>
      <c r="H46" s="26"/>
      <c r="I46" s="25"/>
      <c r="J46" s="25"/>
      <c r="K46" s="25"/>
      <c r="L46" s="25"/>
      <c r="M46" s="25">
        <f t="shared" si="1"/>
        <v>0</v>
      </c>
      <c r="U46" s="28"/>
      <c r="V46" s="11"/>
      <c r="AO46" s="11">
        <f t="shared" si="3"/>
        <v>0</v>
      </c>
      <c r="AY46" s="11">
        <f t="shared" si="15"/>
        <v>20077.445968</v>
      </c>
      <c r="BW46" s="11">
        <f t="shared" si="4"/>
        <v>1065742.2482</v>
      </c>
      <c r="BZ46" s="28">
        <f t="shared" ref="BZ46:BZ56" si="16">BZ45</f>
        <v>25</v>
      </c>
      <c r="CA46" s="11">
        <f t="shared" si="11"/>
        <v>42.629689927999998</v>
      </c>
      <c r="CB46">
        <f t="shared" si="6"/>
        <v>2968750</v>
      </c>
      <c r="CH46" s="11">
        <f t="shared" si="14"/>
        <v>0</v>
      </c>
    </row>
    <row r="47" spans="1:86" x14ac:dyDescent="0.25">
      <c r="A47" s="25">
        <f t="shared" si="5"/>
        <v>1622</v>
      </c>
      <c r="B47" s="25">
        <v>3491</v>
      </c>
      <c r="C47" s="25">
        <f t="shared" si="7"/>
        <v>3421180</v>
      </c>
      <c r="D47" s="25">
        <f t="shared" si="8"/>
        <v>1690370.8262</v>
      </c>
      <c r="E47" s="27">
        <f t="shared" si="10"/>
        <v>1099297.8764600002</v>
      </c>
      <c r="F47" s="27">
        <f t="shared" si="0"/>
        <v>1099297.8764600002</v>
      </c>
      <c r="G47" s="25">
        <f t="shared" si="9"/>
        <v>1000558.1403159999</v>
      </c>
      <c r="H47" s="26"/>
      <c r="I47" s="25"/>
      <c r="J47" s="25"/>
      <c r="K47" s="25"/>
      <c r="L47" s="25"/>
      <c r="M47" s="25">
        <f t="shared" si="1"/>
        <v>0</v>
      </c>
      <c r="U47" s="11">
        <f t="shared" ref="U47:U59" si="17">SUM(R47:T47)</f>
        <v>0</v>
      </c>
      <c r="V47" s="11"/>
      <c r="AO47" s="11">
        <f t="shared" si="3"/>
        <v>0</v>
      </c>
      <c r="AQ47">
        <f t="shared" ref="AQ47:AQ75" si="18">AVERAGE(AO45:AO49)</f>
        <v>173425.59</v>
      </c>
      <c r="AV47">
        <v>200000</v>
      </c>
      <c r="AW47" s="11">
        <f>AV47*$AW$4</f>
        <v>98818</v>
      </c>
      <c r="AX47" t="s">
        <v>160</v>
      </c>
      <c r="AY47" s="11">
        <f t="shared" si="15"/>
        <v>20077.445968</v>
      </c>
      <c r="BW47" s="11">
        <f t="shared" si="4"/>
        <v>1198115.8764600002</v>
      </c>
      <c r="BZ47" s="28">
        <v>20</v>
      </c>
      <c r="CA47" s="11">
        <f t="shared" si="11"/>
        <v>59.90579382300001</v>
      </c>
      <c r="CB47">
        <f t="shared" si="6"/>
        <v>2375000</v>
      </c>
      <c r="CD47">
        <v>1709</v>
      </c>
      <c r="CF47" s="10">
        <f>CD47/$CD$56*100</f>
        <v>84.311790823877658</v>
      </c>
      <c r="CH47" s="11">
        <f t="shared" si="14"/>
        <v>98818</v>
      </c>
    </row>
    <row r="48" spans="1:86" x14ac:dyDescent="0.25">
      <c r="A48" s="25">
        <f t="shared" si="5"/>
        <v>1623</v>
      </c>
      <c r="B48" s="25">
        <v>1276</v>
      </c>
      <c r="C48" s="25">
        <f t="shared" si="7"/>
        <v>1250480</v>
      </c>
      <c r="D48" s="25">
        <f t="shared" si="8"/>
        <v>617849.66319999995</v>
      </c>
      <c r="E48" s="27">
        <f t="shared" si="10"/>
        <v>868911.61489999981</v>
      </c>
      <c r="F48" s="27">
        <f t="shared" si="0"/>
        <v>868911.61489999981</v>
      </c>
      <c r="G48" s="25">
        <f t="shared" si="9"/>
        <v>863614.37719200016</v>
      </c>
      <c r="H48" s="26"/>
      <c r="I48" s="25"/>
      <c r="J48" s="25"/>
      <c r="K48" s="25"/>
      <c r="L48" s="25"/>
      <c r="M48" s="25">
        <f t="shared" si="1"/>
        <v>0</v>
      </c>
      <c r="U48" s="11">
        <f t="shared" si="17"/>
        <v>0</v>
      </c>
      <c r="V48" s="11"/>
      <c r="AO48" s="11">
        <f t="shared" si="3"/>
        <v>0</v>
      </c>
      <c r="AQ48">
        <f t="shared" si="18"/>
        <v>173425.59</v>
      </c>
      <c r="AV48">
        <v>3176</v>
      </c>
      <c r="AW48" s="11">
        <f>AV48*$AW$4</f>
        <v>1569.22984</v>
      </c>
      <c r="AX48" t="s">
        <v>161</v>
      </c>
      <c r="AY48" s="11">
        <f t="shared" si="15"/>
        <v>20077.445968</v>
      </c>
      <c r="BW48" s="11">
        <f t="shared" si="4"/>
        <v>870480.84473999985</v>
      </c>
      <c r="BZ48" s="28">
        <f t="shared" si="16"/>
        <v>20</v>
      </c>
      <c r="CA48" s="11">
        <f t="shared" si="11"/>
        <v>43.524042236999996</v>
      </c>
      <c r="CB48">
        <f t="shared" si="6"/>
        <v>2375000</v>
      </c>
      <c r="CD48">
        <v>2018</v>
      </c>
      <c r="CF48" s="10">
        <f t="shared" ref="CF48:CF97" si="19">CD48/$CD$56*100</f>
        <v>99.555994079921064</v>
      </c>
      <c r="CH48" s="11">
        <f t="shared" si="14"/>
        <v>1569.2298400000436</v>
      </c>
    </row>
    <row r="49" spans="1:86" x14ac:dyDescent="0.25">
      <c r="A49" s="25">
        <f t="shared" si="5"/>
        <v>1624</v>
      </c>
      <c r="B49" s="25">
        <v>2559.5</v>
      </c>
      <c r="C49" s="25">
        <f t="shared" si="7"/>
        <v>2508310</v>
      </c>
      <c r="D49" s="25">
        <f t="shared" si="8"/>
        <v>1239330.8879</v>
      </c>
      <c r="E49" s="27">
        <f t="shared" si="10"/>
        <v>786015.17105999996</v>
      </c>
      <c r="F49" s="27">
        <f t="shared" si="0"/>
        <v>786015.17105999996</v>
      </c>
      <c r="G49" s="25">
        <f t="shared" si="9"/>
        <v>728491.23690000002</v>
      </c>
      <c r="H49" s="26"/>
      <c r="I49" s="25"/>
      <c r="J49" s="25"/>
      <c r="K49" s="25"/>
      <c r="L49" s="25"/>
      <c r="M49" s="25">
        <f t="shared" si="1"/>
        <v>0</v>
      </c>
      <c r="U49" s="11">
        <f t="shared" si="17"/>
        <v>0</v>
      </c>
      <c r="V49" s="11"/>
      <c r="AO49" s="11">
        <f>3900*450*0.49409</f>
        <v>867127.95</v>
      </c>
      <c r="AQ49">
        <f t="shared" si="18"/>
        <v>173425.59</v>
      </c>
      <c r="AS49" s="29">
        <f>(39355*220)/10</f>
        <v>865810</v>
      </c>
      <c r="AY49" s="11">
        <f t="shared" si="15"/>
        <v>27333.157617999997</v>
      </c>
      <c r="BW49" s="11">
        <f t="shared" si="4"/>
        <v>1653143.1210599998</v>
      </c>
      <c r="BZ49" s="28">
        <f t="shared" si="16"/>
        <v>20</v>
      </c>
      <c r="CA49" s="11">
        <f t="shared" si="11"/>
        <v>82.65715605299998</v>
      </c>
      <c r="CB49">
        <f t="shared" si="6"/>
        <v>2375000</v>
      </c>
      <c r="CD49">
        <v>1860</v>
      </c>
      <c r="CF49" s="10">
        <f t="shared" si="19"/>
        <v>91.761223482979773</v>
      </c>
      <c r="CH49" s="11">
        <f t="shared" si="14"/>
        <v>867127.94999999984</v>
      </c>
    </row>
    <row r="50" spans="1:86" x14ac:dyDescent="0.25">
      <c r="A50" s="25">
        <f t="shared" si="5"/>
        <v>1625</v>
      </c>
      <c r="B50" s="25">
        <v>142</v>
      </c>
      <c r="C50" s="25">
        <f t="shared" si="7"/>
        <v>139160</v>
      </c>
      <c r="D50" s="25">
        <f t="shared" si="8"/>
        <v>68757.564400000003</v>
      </c>
      <c r="E50" s="27">
        <f t="shared" si="10"/>
        <v>498104.97534</v>
      </c>
      <c r="F50" s="27">
        <f t="shared" si="0"/>
        <v>498104.97534</v>
      </c>
      <c r="G50" s="25">
        <f t="shared" si="9"/>
        <v>537083.73543999996</v>
      </c>
      <c r="H50" s="26"/>
      <c r="I50" s="25"/>
      <c r="J50" s="25"/>
      <c r="K50" s="25"/>
      <c r="L50" s="25"/>
      <c r="M50" s="25">
        <f t="shared" si="1"/>
        <v>0</v>
      </c>
      <c r="U50" s="11">
        <f t="shared" si="17"/>
        <v>0</v>
      </c>
      <c r="V50" s="11"/>
      <c r="AO50" s="11">
        <f t="shared" si="3"/>
        <v>0</v>
      </c>
      <c r="AQ50">
        <f t="shared" si="18"/>
        <v>173425.59</v>
      </c>
      <c r="AS50" s="29">
        <f t="shared" ref="AS50:AS58" si="20">(39355*220)/10</f>
        <v>865810</v>
      </c>
      <c r="AY50" s="11">
        <f t="shared" si="15"/>
        <v>7569.5576179999989</v>
      </c>
      <c r="BW50" s="11">
        <f t="shared" si="4"/>
        <v>498104.97534</v>
      </c>
      <c r="BZ50" s="28">
        <f t="shared" si="16"/>
        <v>20</v>
      </c>
      <c r="CA50" s="11">
        <f t="shared" si="11"/>
        <v>24.905248767</v>
      </c>
      <c r="CB50">
        <f t="shared" si="6"/>
        <v>2375000</v>
      </c>
      <c r="CD50">
        <v>1820</v>
      </c>
      <c r="CF50" s="10">
        <f t="shared" si="19"/>
        <v>89.787863838184506</v>
      </c>
      <c r="CH50" s="11">
        <f t="shared" si="14"/>
        <v>0</v>
      </c>
    </row>
    <row r="51" spans="1:86" x14ac:dyDescent="0.25">
      <c r="A51" s="25">
        <f t="shared" si="5"/>
        <v>1626</v>
      </c>
      <c r="B51" s="25">
        <v>648</v>
      </c>
      <c r="C51" s="25">
        <f t="shared" si="7"/>
        <v>635040</v>
      </c>
      <c r="D51" s="25">
        <f t="shared" si="8"/>
        <v>313766.91359999997</v>
      </c>
      <c r="E51" s="27">
        <f t="shared" si="10"/>
        <v>390126.54674000002</v>
      </c>
      <c r="F51" s="27">
        <f t="shared" si="0"/>
        <v>390126.54674000002</v>
      </c>
      <c r="G51" s="25">
        <f t="shared" si="9"/>
        <v>389003.183716</v>
      </c>
      <c r="H51" s="26"/>
      <c r="I51" s="25"/>
      <c r="J51" s="25"/>
      <c r="K51" s="25"/>
      <c r="L51" s="25"/>
      <c r="M51" s="25">
        <f t="shared" si="1"/>
        <v>0</v>
      </c>
      <c r="U51" s="11">
        <f t="shared" si="17"/>
        <v>0</v>
      </c>
      <c r="V51" s="11"/>
      <c r="AO51" s="11">
        <f t="shared" si="3"/>
        <v>0</v>
      </c>
      <c r="AQ51">
        <f t="shared" si="18"/>
        <v>173425.59</v>
      </c>
      <c r="AS51" s="29">
        <f t="shared" si="20"/>
        <v>865810</v>
      </c>
      <c r="AV51">
        <v>73425</v>
      </c>
      <c r="AW51" s="11">
        <f>AV51*$AW$4</f>
        <v>36278.558249999995</v>
      </c>
      <c r="AX51" t="s">
        <v>162</v>
      </c>
      <c r="AY51" s="11">
        <f t="shared" si="15"/>
        <v>7255.7116499999993</v>
      </c>
      <c r="BW51" s="11">
        <f t="shared" si="4"/>
        <v>426405.10499000002</v>
      </c>
      <c r="BZ51" s="28">
        <f t="shared" si="16"/>
        <v>20</v>
      </c>
      <c r="CA51" s="11">
        <f t="shared" si="11"/>
        <v>21.320255249500001</v>
      </c>
      <c r="CB51">
        <f t="shared" si="6"/>
        <v>2375000</v>
      </c>
      <c r="CD51">
        <v>2132</v>
      </c>
      <c r="CF51" s="10">
        <f t="shared" si="19"/>
        <v>105.18006906758757</v>
      </c>
      <c r="CH51" s="11">
        <f t="shared" si="14"/>
        <v>36278.558250000002</v>
      </c>
    </row>
    <row r="52" spans="1:86" x14ac:dyDescent="0.25">
      <c r="A52" s="25">
        <f t="shared" si="5"/>
        <v>1627</v>
      </c>
      <c r="B52" s="25">
        <v>518</v>
      </c>
      <c r="C52" s="25">
        <f t="shared" si="7"/>
        <v>507640</v>
      </c>
      <c r="D52" s="25">
        <f t="shared" si="8"/>
        <v>250819.84759999998</v>
      </c>
      <c r="E52" s="27">
        <f t="shared" si="10"/>
        <v>142260.36916</v>
      </c>
      <c r="F52" s="27">
        <f t="shared" si="0"/>
        <v>142260.36916</v>
      </c>
      <c r="G52" s="25">
        <f t="shared" si="9"/>
        <v>248282.596632</v>
      </c>
      <c r="H52" s="26"/>
      <c r="I52" s="25"/>
      <c r="J52" s="25"/>
      <c r="K52" s="25"/>
      <c r="L52" s="25"/>
      <c r="M52" s="25">
        <f t="shared" si="1"/>
        <v>0</v>
      </c>
      <c r="U52" s="11">
        <f t="shared" si="17"/>
        <v>0</v>
      </c>
      <c r="V52" s="11"/>
      <c r="AO52" s="11">
        <f t="shared" si="3"/>
        <v>0</v>
      </c>
      <c r="AQ52">
        <f t="shared" si="18"/>
        <v>9960.8544000000002</v>
      </c>
      <c r="AS52" s="29">
        <f t="shared" si="20"/>
        <v>865810</v>
      </c>
      <c r="AY52" s="11">
        <f t="shared" si="15"/>
        <v>7255.7116499999993</v>
      </c>
      <c r="BW52" s="11">
        <f t="shared" si="4"/>
        <v>142260.36916</v>
      </c>
      <c r="BZ52" s="28">
        <f t="shared" si="16"/>
        <v>20</v>
      </c>
      <c r="CA52" s="11">
        <f t="shared" si="11"/>
        <v>7.1130184580000009</v>
      </c>
      <c r="CB52">
        <f t="shared" si="6"/>
        <v>2375000</v>
      </c>
      <c r="CD52">
        <v>1844</v>
      </c>
      <c r="CF52" s="10">
        <f t="shared" si="19"/>
        <v>90.971879625061675</v>
      </c>
      <c r="CH52" s="11">
        <f t="shared" si="14"/>
        <v>0</v>
      </c>
    </row>
    <row r="53" spans="1:86" x14ac:dyDescent="0.25">
      <c r="A53" s="25">
        <f t="shared" si="5"/>
        <v>1628</v>
      </c>
      <c r="B53" s="25">
        <v>161</v>
      </c>
      <c r="C53" s="25">
        <f t="shared" si="7"/>
        <v>157780</v>
      </c>
      <c r="D53" s="25">
        <f t="shared" si="8"/>
        <v>77957.520199999999</v>
      </c>
      <c r="E53" s="27">
        <f t="shared" si="10"/>
        <v>128508.85627999999</v>
      </c>
      <c r="F53" s="27">
        <f t="shared" si="0"/>
        <v>128508.85627999999</v>
      </c>
      <c r="G53" s="25">
        <f t="shared" si="9"/>
        <v>155111.25478799999</v>
      </c>
      <c r="H53" s="26"/>
      <c r="I53" s="25"/>
      <c r="J53" s="25"/>
      <c r="K53" s="25"/>
      <c r="L53" s="25"/>
      <c r="M53" s="25">
        <f t="shared" si="1"/>
        <v>0</v>
      </c>
      <c r="U53" s="11">
        <f t="shared" si="17"/>
        <v>0</v>
      </c>
      <c r="V53" s="11"/>
      <c r="AO53" s="11">
        <f t="shared" si="3"/>
        <v>0</v>
      </c>
      <c r="AQ53">
        <f t="shared" si="18"/>
        <v>9960.8544000000002</v>
      </c>
      <c r="AS53" s="29">
        <f t="shared" si="20"/>
        <v>865810</v>
      </c>
      <c r="AY53" s="11">
        <f t="shared" si="15"/>
        <v>7255.7116499999993</v>
      </c>
      <c r="BW53" s="11">
        <f t="shared" si="4"/>
        <v>128508.85627999999</v>
      </c>
      <c r="BZ53" s="28">
        <f t="shared" si="16"/>
        <v>20</v>
      </c>
      <c r="CA53" s="11">
        <f t="shared" si="11"/>
        <v>6.4254428140000002</v>
      </c>
      <c r="CB53">
        <f t="shared" si="6"/>
        <v>2375000</v>
      </c>
      <c r="CD53">
        <v>2330</v>
      </c>
      <c r="CF53" s="10">
        <f t="shared" si="19"/>
        <v>114.94819930932411</v>
      </c>
      <c r="CH53" s="11">
        <f t="shared" si="14"/>
        <v>0</v>
      </c>
    </row>
    <row r="54" spans="1:86" x14ac:dyDescent="0.25">
      <c r="A54" s="25">
        <f t="shared" si="5"/>
        <v>1629</v>
      </c>
      <c r="B54" s="25"/>
      <c r="C54" s="25"/>
      <c r="D54" s="25"/>
      <c r="E54" s="27">
        <f t="shared" si="10"/>
        <v>82412.235639999999</v>
      </c>
      <c r="F54" s="27">
        <f t="shared" si="0"/>
        <v>82412.235639999999</v>
      </c>
      <c r="G54" s="25">
        <f t="shared" si="9"/>
        <v>80417.297856000005</v>
      </c>
      <c r="H54" s="26"/>
      <c r="I54" s="25"/>
      <c r="J54" s="25"/>
      <c r="K54" s="25"/>
      <c r="L54" s="25"/>
      <c r="M54" s="25">
        <f t="shared" si="1"/>
        <v>0</v>
      </c>
      <c r="U54" s="11">
        <f t="shared" si="17"/>
        <v>0</v>
      </c>
      <c r="V54" s="11"/>
      <c r="X54">
        <v>1200</v>
      </c>
      <c r="Y54" t="s">
        <v>163</v>
      </c>
      <c r="Z54">
        <v>3600</v>
      </c>
      <c r="AG54" s="11">
        <f>Z54*$AG$1</f>
        <v>49804.271999999997</v>
      </c>
      <c r="AO54" s="11">
        <f t="shared" si="3"/>
        <v>49804.271999999997</v>
      </c>
      <c r="AQ54">
        <f t="shared" si="18"/>
        <v>56738.133424</v>
      </c>
      <c r="AS54" s="29">
        <f t="shared" si="20"/>
        <v>865810</v>
      </c>
      <c r="AY54" s="11">
        <f t="shared" si="15"/>
        <v>3344.0011199999999</v>
      </c>
      <c r="BW54" s="11">
        <f t="shared" si="4"/>
        <v>132216.50764</v>
      </c>
      <c r="BZ54" s="28">
        <f t="shared" si="16"/>
        <v>20</v>
      </c>
      <c r="CA54" s="11">
        <f t="shared" si="11"/>
        <v>6.6108253819999998</v>
      </c>
      <c r="CB54">
        <f t="shared" si="6"/>
        <v>2375000</v>
      </c>
      <c r="CD54">
        <v>2990</v>
      </c>
      <c r="CF54" s="10">
        <f t="shared" si="19"/>
        <v>147.50863344844598</v>
      </c>
      <c r="CH54" s="11">
        <f t="shared" si="14"/>
        <v>49804.271999999997</v>
      </c>
    </row>
    <row r="55" spans="1:86" x14ac:dyDescent="0.25">
      <c r="A55" s="25">
        <f t="shared" si="5"/>
        <v>1630</v>
      </c>
      <c r="B55" s="25"/>
      <c r="C55" s="25"/>
      <c r="D55" s="25"/>
      <c r="E55" s="27">
        <f t="shared" si="10"/>
        <v>32248.266119999997</v>
      </c>
      <c r="F55" s="27">
        <f t="shared" si="0"/>
        <v>32248.266119999997</v>
      </c>
      <c r="G55" s="25">
        <f t="shared" si="9"/>
        <v>51965.224023999996</v>
      </c>
      <c r="H55" s="26"/>
      <c r="I55" s="25"/>
      <c r="J55" s="25"/>
      <c r="K55" s="25"/>
      <c r="L55" s="25"/>
      <c r="M55" s="25">
        <f t="shared" si="1"/>
        <v>0</v>
      </c>
      <c r="U55" s="11">
        <f t="shared" si="17"/>
        <v>0</v>
      </c>
      <c r="V55" s="11"/>
      <c r="AO55" s="11">
        <f t="shared" si="3"/>
        <v>0</v>
      </c>
      <c r="AQ55">
        <f t="shared" si="18"/>
        <v>120686.126946</v>
      </c>
      <c r="AS55" s="29">
        <f t="shared" si="20"/>
        <v>865810</v>
      </c>
      <c r="AY55" s="11">
        <f t="shared" si="15"/>
        <v>3344.0011199999999</v>
      </c>
      <c r="BW55" s="11">
        <f t="shared" si="4"/>
        <v>32248.266119999997</v>
      </c>
      <c r="BZ55" s="28">
        <f t="shared" si="16"/>
        <v>20</v>
      </c>
      <c r="CA55" s="11">
        <f t="shared" si="11"/>
        <v>1.6124133059999999</v>
      </c>
      <c r="CB55">
        <f t="shared" si="6"/>
        <v>2375000</v>
      </c>
      <c r="CD55">
        <v>3560</v>
      </c>
      <c r="CF55" s="10">
        <f t="shared" si="19"/>
        <v>175.62900838677848</v>
      </c>
      <c r="CH55" s="11">
        <f t="shared" si="14"/>
        <v>0</v>
      </c>
    </row>
    <row r="56" spans="1:86" x14ac:dyDescent="0.25">
      <c r="A56" s="25">
        <f t="shared" si="5"/>
        <v>1631</v>
      </c>
      <c r="B56" s="25">
        <v>172</v>
      </c>
      <c r="C56" s="25">
        <f t="shared" si="7"/>
        <v>168560</v>
      </c>
      <c r="D56" s="25">
        <f t="shared" si="8"/>
        <v>83283.810400000002</v>
      </c>
      <c r="E56" s="27">
        <f t="shared" si="10"/>
        <v>16656.76208</v>
      </c>
      <c r="F56" s="27">
        <f t="shared" si="0"/>
        <v>16656.76208</v>
      </c>
      <c r="G56" s="25">
        <f t="shared" si="9"/>
        <v>26263.452767999999</v>
      </c>
      <c r="H56" s="26"/>
      <c r="I56" s="25"/>
      <c r="J56" s="25"/>
      <c r="K56" s="25"/>
      <c r="L56" s="25"/>
      <c r="M56" s="25">
        <f t="shared" si="1"/>
        <v>0</v>
      </c>
      <c r="U56" s="11">
        <f t="shared" si="17"/>
        <v>0</v>
      </c>
      <c r="V56" s="11"/>
      <c r="X56">
        <v>828</v>
      </c>
      <c r="Y56" t="s">
        <v>163</v>
      </c>
      <c r="Z56">
        <f>14907</f>
        <v>14907</v>
      </c>
      <c r="AA56">
        <v>96</v>
      </c>
      <c r="AB56" t="s">
        <v>163</v>
      </c>
      <c r="AC56">
        <v>1868</v>
      </c>
      <c r="AD56">
        <v>6</v>
      </c>
      <c r="AE56" t="s">
        <v>163</v>
      </c>
      <c r="AF56">
        <v>131</v>
      </c>
      <c r="AG56" s="11">
        <f>Z56*$AG$1</f>
        <v>206231.18964</v>
      </c>
      <c r="AH56" s="11">
        <f>AC56*$AG$1</f>
        <v>25842.88336</v>
      </c>
      <c r="AI56" s="11">
        <f>AF56*$AG$1</f>
        <v>1812.32212</v>
      </c>
      <c r="AJ56" s="11"/>
      <c r="AK56" s="30"/>
      <c r="AO56" s="11">
        <f t="shared" si="3"/>
        <v>233886.39512</v>
      </c>
      <c r="AQ56">
        <f t="shared" si="18"/>
        <v>120686.126946</v>
      </c>
      <c r="AS56" s="29">
        <f t="shared" si="20"/>
        <v>865810</v>
      </c>
      <c r="AV56">
        <v>33840</v>
      </c>
      <c r="AW56" s="11">
        <f>AV56*$AW$4</f>
        <v>16720.0056</v>
      </c>
      <c r="AX56" t="s">
        <v>164</v>
      </c>
      <c r="AY56" s="11">
        <f t="shared" si="15"/>
        <v>3344.0011199999999</v>
      </c>
      <c r="BW56" s="11">
        <f t="shared" si="4"/>
        <v>267263.16279999999</v>
      </c>
      <c r="BZ56" s="28">
        <f t="shared" si="16"/>
        <v>20</v>
      </c>
      <c r="CA56" s="11">
        <f t="shared" si="11"/>
        <v>13.363158139999999</v>
      </c>
      <c r="CB56">
        <f t="shared" si="6"/>
        <v>2375000</v>
      </c>
      <c r="CD56">
        <v>2027</v>
      </c>
      <c r="CF56" s="10">
        <f t="shared" si="19"/>
        <v>100</v>
      </c>
      <c r="CH56" s="11">
        <f t="shared" si="14"/>
        <v>250606.40071999998</v>
      </c>
    </row>
    <row r="57" spans="1:86" x14ac:dyDescent="0.25">
      <c r="A57" s="25">
        <f t="shared" si="5"/>
        <v>1632</v>
      </c>
      <c r="B57" s="25"/>
      <c r="C57" s="25"/>
      <c r="D57" s="25"/>
      <c r="E57" s="25"/>
      <c r="F57" s="25">
        <f t="shared" si="0"/>
        <v>0</v>
      </c>
      <c r="G57" s="25">
        <f t="shared" si="9"/>
        <v>9781.0056399999994</v>
      </c>
      <c r="H57" s="26"/>
      <c r="I57" s="25"/>
      <c r="J57" s="25"/>
      <c r="K57" s="25"/>
      <c r="L57" s="25"/>
      <c r="M57" s="25">
        <f t="shared" si="1"/>
        <v>0</v>
      </c>
      <c r="U57" s="11">
        <f t="shared" si="17"/>
        <v>0</v>
      </c>
      <c r="V57" s="11"/>
      <c r="X57">
        <v>1514</v>
      </c>
      <c r="Y57" t="s">
        <v>163</v>
      </c>
      <c r="Z57">
        <v>18340.75</v>
      </c>
      <c r="AA57">
        <v>2</v>
      </c>
      <c r="AB57" t="s">
        <v>165</v>
      </c>
      <c r="AC57">
        <v>4274</v>
      </c>
      <c r="AE57" t="s">
        <v>166</v>
      </c>
      <c r="AF57">
        <v>497</v>
      </c>
      <c r="AG57" s="11">
        <f>Z57*$AG$1</f>
        <v>253735.47269</v>
      </c>
      <c r="AH57" s="11">
        <f>AC57*$AG$1</f>
        <v>59128.73848</v>
      </c>
      <c r="AI57" s="11">
        <f>AF57*$AG$1</f>
        <v>6875.7564400000001</v>
      </c>
      <c r="AJ57" s="11"/>
      <c r="AK57" s="31"/>
      <c r="AL57" s="13">
        <f>(8062.75+2047+874.5)/Z57</f>
        <v>0.59889862737347166</v>
      </c>
      <c r="AM57" s="13">
        <f>(583.5+510+179.5)/AC57</f>
        <v>0.29784744969583526</v>
      </c>
      <c r="AN57">
        <f>0</f>
        <v>0</v>
      </c>
      <c r="AO57" s="11">
        <f t="shared" si="3"/>
        <v>319739.96761000005</v>
      </c>
      <c r="AP57" s="32">
        <f>AL57*AG57+AM57*AH57+AN57*AI57</f>
        <v>169573.17027</v>
      </c>
      <c r="AQ57">
        <f t="shared" si="18"/>
        <v>287978.67659400002</v>
      </c>
      <c r="AS57" s="29">
        <f t="shared" si="20"/>
        <v>865810</v>
      </c>
      <c r="AY57" s="11">
        <f t="shared" si="15"/>
        <v>45725.361413999999</v>
      </c>
      <c r="BW57" s="11">
        <f t="shared" si="4"/>
        <v>319739.96761000005</v>
      </c>
      <c r="BZ57" s="28">
        <v>22</v>
      </c>
      <c r="CA57" s="11">
        <f t="shared" si="11"/>
        <v>14.53363489136364</v>
      </c>
      <c r="CB57">
        <f t="shared" si="6"/>
        <v>2612500</v>
      </c>
      <c r="CD57">
        <v>2620</v>
      </c>
      <c r="CF57" s="10">
        <f t="shared" si="19"/>
        <v>129.25505673408978</v>
      </c>
      <c r="CH57" s="11">
        <f t="shared" si="14"/>
        <v>319739.96761000005</v>
      </c>
    </row>
    <row r="58" spans="1:86" x14ac:dyDescent="0.25">
      <c r="A58" s="25">
        <f t="shared" si="5"/>
        <v>1633</v>
      </c>
      <c r="B58" s="25"/>
      <c r="C58" s="25"/>
      <c r="D58" s="25"/>
      <c r="E58" s="25"/>
      <c r="F58" s="25">
        <f t="shared" si="0"/>
        <v>0</v>
      </c>
      <c r="G58" s="25">
        <f t="shared" si="9"/>
        <v>3331.3524160000002</v>
      </c>
      <c r="H58" s="26"/>
      <c r="I58" s="25"/>
      <c r="J58" s="25"/>
      <c r="K58" s="25"/>
      <c r="L58" s="25"/>
      <c r="M58" s="25">
        <f t="shared" si="1"/>
        <v>0</v>
      </c>
      <c r="U58" s="11">
        <f t="shared" si="17"/>
        <v>0</v>
      </c>
      <c r="V58" s="11">
        <f t="shared" ref="V58:V78" si="21">AVERAGE(U56:U60)</f>
        <v>21130.845848000001</v>
      </c>
      <c r="AG58" s="11"/>
      <c r="AH58" s="11"/>
      <c r="AI58" s="11"/>
      <c r="AJ58" s="11"/>
      <c r="AK58" s="31"/>
      <c r="AO58" s="11">
        <f t="shared" si="3"/>
        <v>0</v>
      </c>
      <c r="AP58" s="32"/>
      <c r="AQ58">
        <f t="shared" si="18"/>
        <v>503010.00440600002</v>
      </c>
      <c r="AS58" s="29">
        <f t="shared" si="20"/>
        <v>865810</v>
      </c>
      <c r="AY58" s="11">
        <f t="shared" si="15"/>
        <v>45725.361413999999</v>
      </c>
      <c r="BW58" s="11">
        <f t="shared" si="4"/>
        <v>0</v>
      </c>
      <c r="BZ58" s="28">
        <v>24</v>
      </c>
      <c r="CA58" s="11">
        <f t="shared" si="11"/>
        <v>0</v>
      </c>
      <c r="CB58">
        <f t="shared" si="6"/>
        <v>2850000</v>
      </c>
      <c r="CD58">
        <v>2366</v>
      </c>
      <c r="CF58" s="10">
        <f t="shared" si="19"/>
        <v>116.72422298963987</v>
      </c>
      <c r="CH58" s="11">
        <f t="shared" si="14"/>
        <v>0</v>
      </c>
    </row>
    <row r="59" spans="1:86" x14ac:dyDescent="0.25">
      <c r="A59" s="25">
        <f t="shared" si="5"/>
        <v>1634</v>
      </c>
      <c r="B59" s="25"/>
      <c r="C59" s="25"/>
      <c r="D59" s="25"/>
      <c r="E59" s="25"/>
      <c r="F59" s="25">
        <f t="shared" si="0"/>
        <v>0</v>
      </c>
      <c r="G59" s="25"/>
      <c r="H59" s="26"/>
      <c r="I59" s="25"/>
      <c r="J59" s="25"/>
      <c r="K59" s="25"/>
      <c r="L59" s="25"/>
      <c r="M59" s="25">
        <f t="shared" si="1"/>
        <v>0</v>
      </c>
      <c r="U59" s="11">
        <f t="shared" si="17"/>
        <v>0</v>
      </c>
      <c r="V59" s="11">
        <f t="shared" si="21"/>
        <v>267000.702192</v>
      </c>
      <c r="Z59">
        <v>63510</v>
      </c>
      <c r="AF59">
        <v>552</v>
      </c>
      <c r="AG59" s="11">
        <f t="shared" ref="AG59:AG73" si="22">Z59*$AG$1</f>
        <v>878630.3652</v>
      </c>
      <c r="AH59" s="11">
        <f t="shared" ref="AH59:AH73" si="23">AC59*$AG$1</f>
        <v>0</v>
      </c>
      <c r="AI59" s="11">
        <f t="shared" ref="AI59:AI73" si="24">AF59*$AG$1</f>
        <v>7636.6550399999996</v>
      </c>
      <c r="AJ59" s="11"/>
      <c r="AK59" s="31"/>
      <c r="AO59" s="11">
        <f t="shared" si="3"/>
        <v>886267.02023999998</v>
      </c>
      <c r="AP59" s="32"/>
      <c r="AQ59">
        <f t="shared" si="18"/>
        <v>609369.79416599998</v>
      </c>
      <c r="AS59" s="29"/>
      <c r="AV59">
        <v>428883</v>
      </c>
      <c r="AW59" s="11">
        <f>AV59*$AW$4</f>
        <v>211906.80146999998</v>
      </c>
      <c r="AX59" t="s">
        <v>167</v>
      </c>
      <c r="AY59" s="11">
        <f t="shared" si="15"/>
        <v>42381.360293999998</v>
      </c>
      <c r="BD59" s="33">
        <f>AW59/2</f>
        <v>105953.40073499999</v>
      </c>
      <c r="BW59" s="11">
        <f t="shared" si="4"/>
        <v>1098173.82171</v>
      </c>
      <c r="BZ59" s="28">
        <v>26</v>
      </c>
      <c r="CA59" s="11">
        <f t="shared" si="11"/>
        <v>42.237454681153842</v>
      </c>
      <c r="CB59">
        <f t="shared" si="6"/>
        <v>3087500</v>
      </c>
      <c r="CC59" s="34">
        <f>CB59-BW59</f>
        <v>1989326.17829</v>
      </c>
      <c r="CD59">
        <v>3003</v>
      </c>
      <c r="CF59" s="10">
        <f t="shared" si="19"/>
        <v>148.14997533300445</v>
      </c>
      <c r="CH59" s="11">
        <f t="shared" si="14"/>
        <v>1098173.82171</v>
      </c>
    </row>
    <row r="60" spans="1:86" x14ac:dyDescent="0.25">
      <c r="A60" s="25">
        <f t="shared" si="5"/>
        <v>1635</v>
      </c>
      <c r="B60" s="25"/>
      <c r="C60" s="25"/>
      <c r="D60" s="25"/>
      <c r="E60" s="25"/>
      <c r="F60" s="25">
        <f t="shared" si="0"/>
        <v>0</v>
      </c>
      <c r="G60" s="25"/>
      <c r="H60" s="26"/>
      <c r="I60" s="25"/>
      <c r="J60" s="25"/>
      <c r="K60" s="25"/>
      <c r="L60" s="25"/>
      <c r="M60" s="25">
        <f t="shared" si="1"/>
        <v>0</v>
      </c>
      <c r="O60">
        <v>6547</v>
      </c>
      <c r="P60">
        <v>859</v>
      </c>
      <c r="Q60">
        <v>231</v>
      </c>
      <c r="R60" s="11">
        <f>O60*$R$1</f>
        <v>90574.602440000002</v>
      </c>
      <c r="S60" s="11">
        <f>P60*$R$1</f>
        <v>11883.85268</v>
      </c>
      <c r="T60" s="11">
        <f>Q60*$R$1</f>
        <v>3195.77412</v>
      </c>
      <c r="U60" s="11">
        <f>SUM(R60:T60)</f>
        <v>105654.22924</v>
      </c>
      <c r="V60" s="11">
        <f t="shared" si="21"/>
        <v>440334.78672399995</v>
      </c>
      <c r="Z60">
        <v>50959.5</v>
      </c>
      <c r="AC60">
        <v>22414</v>
      </c>
      <c r="AF60">
        <v>4342</v>
      </c>
      <c r="AG60" s="11">
        <f t="shared" si="22"/>
        <v>705000.22193999996</v>
      </c>
      <c r="AH60" s="11">
        <f t="shared" si="23"/>
        <v>310086.93127999996</v>
      </c>
      <c r="AI60" s="11">
        <f t="shared" si="24"/>
        <v>60069.485840000001</v>
      </c>
      <c r="AJ60" s="35">
        <f>(AI60+T60)/(U60+AO60)</f>
        <v>5.3577809671655784E-2</v>
      </c>
      <c r="AK60" s="31">
        <f>(AG60+R60)/(SUM(AG60:AI60)+SUM(R60:T60))</f>
        <v>0.67375296564248266</v>
      </c>
      <c r="AO60" s="11">
        <f t="shared" si="3"/>
        <v>1075156.63906</v>
      </c>
      <c r="AP60" s="32"/>
      <c r="AQ60">
        <f t="shared" si="18"/>
        <v>554627.29025199998</v>
      </c>
      <c r="AS60" s="29"/>
      <c r="AY60" s="11">
        <f t="shared" si="15"/>
        <v>157238.41105599998</v>
      </c>
      <c r="BD60" s="33">
        <f>AW60/2</f>
        <v>0</v>
      </c>
      <c r="BW60" s="11">
        <f t="shared" si="4"/>
        <v>1180810.8683</v>
      </c>
      <c r="BZ60" s="28">
        <v>28</v>
      </c>
      <c r="CA60" s="11">
        <f t="shared" si="11"/>
        <v>42.171816724999999</v>
      </c>
      <c r="CB60">
        <f t="shared" si="6"/>
        <v>3325000</v>
      </c>
      <c r="CC60" s="34">
        <f t="shared" ref="CC60:CC76" si="25">CB60-BW60</f>
        <v>2144189.1316999998</v>
      </c>
      <c r="CD60">
        <v>2335</v>
      </c>
      <c r="CE60" s="36">
        <f t="shared" ref="CE60:CE76" si="26">CD60/U60*1000</f>
        <v>22.100393110586285</v>
      </c>
      <c r="CF60" s="10">
        <f t="shared" si="19"/>
        <v>115.19486926492353</v>
      </c>
      <c r="CH60" s="11">
        <f t="shared" si="14"/>
        <v>1180810.8683</v>
      </c>
    </row>
    <row r="61" spans="1:86" x14ac:dyDescent="0.25">
      <c r="A61" s="25">
        <f t="shared" si="5"/>
        <v>1636</v>
      </c>
      <c r="B61" s="25"/>
      <c r="C61" s="25"/>
      <c r="D61" s="25"/>
      <c r="E61" s="25"/>
      <c r="F61" s="25">
        <f t="shared" si="0"/>
        <v>0</v>
      </c>
      <c r="G61" s="25"/>
      <c r="H61" s="26"/>
      <c r="I61" s="25"/>
      <c r="J61" s="25"/>
      <c r="K61" s="25"/>
      <c r="L61" s="25"/>
      <c r="M61" s="25">
        <f t="shared" si="1"/>
        <v>0</v>
      </c>
      <c r="O61">
        <v>68322</v>
      </c>
      <c r="P61">
        <v>19688</v>
      </c>
      <c r="Q61">
        <v>851</v>
      </c>
      <c r="R61" s="11">
        <f t="shared" ref="R61:T76" si="27">O61*$R$1</f>
        <v>945202.07543999993</v>
      </c>
      <c r="S61" s="11">
        <f t="shared" si="27"/>
        <v>272374.02976</v>
      </c>
      <c r="T61" s="11">
        <f t="shared" si="27"/>
        <v>11773.176519999999</v>
      </c>
      <c r="U61" s="11">
        <f t="shared" ref="U61:U124" si="28">SUM(R61:T61)</f>
        <v>1229349.2817199999</v>
      </c>
      <c r="V61" s="11">
        <f t="shared" si="21"/>
        <v>816777.60973199992</v>
      </c>
      <c r="Z61">
        <v>41721</v>
      </c>
      <c r="AC61">
        <v>11026</v>
      </c>
      <c r="AF61">
        <v>2599</v>
      </c>
      <c r="AG61" s="11">
        <f t="shared" si="22"/>
        <v>577190.00891999993</v>
      </c>
      <c r="AH61" s="11">
        <f t="shared" si="23"/>
        <v>152539.41751999999</v>
      </c>
      <c r="AI61" s="11">
        <f t="shared" si="24"/>
        <v>35955.917479999996</v>
      </c>
      <c r="AJ61" s="35">
        <f t="shared" ref="AJ61:AJ73" si="29">(AI61+T61)/(U61+AO61)</f>
        <v>2.3923942665751319E-2</v>
      </c>
      <c r="AK61" s="31">
        <f t="shared" ref="AK61:AK73" si="30">(AG61+R61)/(SUM(AG61:AI61)+SUM(R61:T61))</f>
        <v>0.7630905573238469</v>
      </c>
      <c r="AL61" s="13">
        <f>(5098+9923+49)/Z61</f>
        <v>0.36120898348553487</v>
      </c>
      <c r="AM61" s="13">
        <f>(1794+2415+24)/AC61</f>
        <v>0.38391075639397787</v>
      </c>
      <c r="AN61" s="37">
        <f>(2576+23)/AF61</f>
        <v>1</v>
      </c>
      <c r="AO61" s="11">
        <f t="shared" si="3"/>
        <v>765685.3439199999</v>
      </c>
      <c r="AP61" s="32">
        <f t="shared" ref="AP61:AP73" si="31">AL61*AG61+AM61*AH61+AN61*AI61</f>
        <v>303003.65703999996</v>
      </c>
      <c r="AQ61">
        <f t="shared" si="18"/>
        <v>720769.49956199992</v>
      </c>
      <c r="AS61" s="29"/>
      <c r="AY61" s="11">
        <f t="shared" si="15"/>
        <v>350533.83040600002</v>
      </c>
      <c r="BD61" s="33">
        <f t="shared" ref="BD61:BD85" si="32">AW61/2</f>
        <v>0</v>
      </c>
      <c r="BW61" s="11">
        <f t="shared" si="4"/>
        <v>1995034.6256399998</v>
      </c>
      <c r="BZ61" s="28">
        <v>30</v>
      </c>
      <c r="CA61" s="11">
        <f t="shared" si="11"/>
        <v>66.501154187999987</v>
      </c>
      <c r="CB61">
        <f t="shared" si="6"/>
        <v>3562500</v>
      </c>
      <c r="CC61" s="34">
        <f t="shared" si="25"/>
        <v>1567465.3743600002</v>
      </c>
      <c r="CD61">
        <v>2844</v>
      </c>
      <c r="CE61" s="36">
        <f t="shared" si="26"/>
        <v>2.3134190114146564</v>
      </c>
      <c r="CF61" s="10">
        <f t="shared" si="19"/>
        <v>140.30587074494326</v>
      </c>
      <c r="CH61" s="11">
        <f t="shared" si="14"/>
        <v>1995034.6256399998</v>
      </c>
    </row>
    <row r="62" spans="1:86" x14ac:dyDescent="0.25">
      <c r="A62" s="25">
        <f t="shared" si="5"/>
        <v>1637</v>
      </c>
      <c r="B62" s="25"/>
      <c r="C62" s="25"/>
      <c r="D62" s="25"/>
      <c r="E62" s="25"/>
      <c r="F62" s="25">
        <f t="shared" si="0"/>
        <v>0</v>
      </c>
      <c r="G62" s="25"/>
      <c r="H62" s="26"/>
      <c r="I62" s="25"/>
      <c r="J62" s="25"/>
      <c r="K62" s="25"/>
      <c r="L62" s="25"/>
      <c r="M62" s="25">
        <f t="shared" si="1"/>
        <v>0</v>
      </c>
      <c r="O62">
        <v>38171</v>
      </c>
      <c r="P62">
        <v>23784</v>
      </c>
      <c r="Q62">
        <v>690.5</v>
      </c>
      <c r="R62" s="11">
        <f t="shared" si="27"/>
        <v>528077.46291999996</v>
      </c>
      <c r="S62" s="11">
        <f t="shared" si="27"/>
        <v>329040.22368</v>
      </c>
      <c r="T62" s="11">
        <f t="shared" si="27"/>
        <v>9552.7360599999993</v>
      </c>
      <c r="U62" s="11">
        <f t="shared" si="28"/>
        <v>866670.42265999992</v>
      </c>
      <c r="V62" s="11">
        <f t="shared" si="21"/>
        <v>1210370.395458</v>
      </c>
      <c r="Z62">
        <v>2144</v>
      </c>
      <c r="AC62">
        <v>1114</v>
      </c>
      <c r="AF62">
        <v>69</v>
      </c>
      <c r="AG62" s="11">
        <f t="shared" si="22"/>
        <v>29661.210879999999</v>
      </c>
      <c r="AH62" s="11">
        <f t="shared" si="23"/>
        <v>15411.655279999999</v>
      </c>
      <c r="AI62" s="11">
        <f t="shared" si="24"/>
        <v>954.58187999999996</v>
      </c>
      <c r="AJ62" s="35">
        <f t="shared" si="29"/>
        <v>1.1512372579483876E-2</v>
      </c>
      <c r="AK62" s="31">
        <f t="shared" si="30"/>
        <v>0.61108795331388077</v>
      </c>
      <c r="AO62" s="11">
        <f t="shared" si="3"/>
        <v>46027.448039999996</v>
      </c>
      <c r="AP62" s="32"/>
      <c r="AQ62">
        <f t="shared" si="18"/>
        <v>905539.89005199983</v>
      </c>
      <c r="AS62" s="29"/>
      <c r="AV62">
        <v>1162309</v>
      </c>
      <c r="AW62" s="11">
        <f t="shared" ref="AW62:AW67" si="33">AV62*$AW$4</f>
        <v>574285.25381000002</v>
      </c>
      <c r="AX62" t="s">
        <v>168</v>
      </c>
      <c r="AY62" s="11">
        <f t="shared" si="15"/>
        <v>610725.6759439999</v>
      </c>
      <c r="BD62" s="33">
        <f t="shared" si="32"/>
        <v>287142.62690500001</v>
      </c>
      <c r="BW62" s="11">
        <f t="shared" si="4"/>
        <v>1486983.12451</v>
      </c>
      <c r="BX62" s="37"/>
      <c r="BZ62" s="28">
        <v>32</v>
      </c>
      <c r="CA62" s="11">
        <f t="shared" si="11"/>
        <v>46.468222640937498</v>
      </c>
      <c r="CB62">
        <f t="shared" si="6"/>
        <v>3800000</v>
      </c>
      <c r="CC62" s="34">
        <f t="shared" si="25"/>
        <v>2313016.87549</v>
      </c>
      <c r="CD62">
        <v>3585</v>
      </c>
      <c r="CE62" s="36">
        <f t="shared" si="26"/>
        <v>4.1365205345266727</v>
      </c>
      <c r="CF62" s="10">
        <f t="shared" si="19"/>
        <v>176.86235816477554</v>
      </c>
      <c r="CH62" s="11">
        <f t="shared" si="14"/>
        <v>1486983.12451</v>
      </c>
    </row>
    <row r="63" spans="1:86" x14ac:dyDescent="0.25">
      <c r="A63" s="25">
        <f t="shared" si="5"/>
        <v>1638</v>
      </c>
      <c r="B63" s="25"/>
      <c r="C63" s="25"/>
      <c r="D63" s="25"/>
      <c r="E63" s="25"/>
      <c r="F63" s="25">
        <f t="shared" si="0"/>
        <v>0</v>
      </c>
      <c r="G63" s="25"/>
      <c r="H63" s="26"/>
      <c r="I63" s="25"/>
      <c r="J63" s="25"/>
      <c r="K63" s="25"/>
      <c r="L63" s="25"/>
      <c r="M63" s="25">
        <f t="shared" si="1"/>
        <v>0</v>
      </c>
      <c r="O63">
        <v>76452.5</v>
      </c>
      <c r="P63">
        <v>42059</v>
      </c>
      <c r="Q63">
        <v>17540.5</v>
      </c>
      <c r="R63" s="11">
        <f t="shared" si="27"/>
        <v>1057683.6402999999</v>
      </c>
      <c r="S63" s="11">
        <f t="shared" si="27"/>
        <v>581866.07667999994</v>
      </c>
      <c r="T63" s="11">
        <f t="shared" si="27"/>
        <v>242664.39805999998</v>
      </c>
      <c r="U63" s="11">
        <f t="shared" si="28"/>
        <v>1882214.1150399998</v>
      </c>
      <c r="V63" s="11">
        <f t="shared" si="21"/>
        <v>1796298.28721</v>
      </c>
      <c r="Z63">
        <v>42378.75</v>
      </c>
      <c r="AC63">
        <v>13484</v>
      </c>
      <c r="AF63">
        <v>4183.5</v>
      </c>
      <c r="AG63" s="11">
        <f t="shared" si="22"/>
        <v>586289.66444999992</v>
      </c>
      <c r="AH63" s="11">
        <f t="shared" si="23"/>
        <v>186544.66767999998</v>
      </c>
      <c r="AI63" s="11">
        <f t="shared" si="24"/>
        <v>57876.714419999997</v>
      </c>
      <c r="AJ63" s="35">
        <f t="shared" si="29"/>
        <v>0.11078120278992801</v>
      </c>
      <c r="AK63" s="31">
        <f t="shared" si="30"/>
        <v>0.60597812576093868</v>
      </c>
      <c r="AL63" s="13">
        <f>(12798+3207+2673)/Z63</f>
        <v>0.44073975754358019</v>
      </c>
      <c r="AM63" s="13">
        <f>(4133.5+624+649)/AC63</f>
        <v>0.40095668940967072</v>
      </c>
      <c r="AN63" s="13">
        <f>(1313.5+230+221)/AF63</f>
        <v>0.42177602485956733</v>
      </c>
      <c r="AO63" s="11">
        <f t="shared" si="3"/>
        <v>830711.04654999985</v>
      </c>
      <c r="AP63" s="32">
        <f t="shared" si="31"/>
        <v>357608.50747999991</v>
      </c>
      <c r="AQ63">
        <f t="shared" si="18"/>
        <v>818863.85534799995</v>
      </c>
      <c r="AS63" s="32"/>
      <c r="AV63">
        <v>1956075</v>
      </c>
      <c r="AW63" s="11">
        <f t="shared" si="33"/>
        <v>966477.09674999991</v>
      </c>
      <c r="AX63" t="s">
        <v>169</v>
      </c>
      <c r="AY63" s="11">
        <f t="shared" si="15"/>
        <v>759343.20467999985</v>
      </c>
      <c r="BD63" s="33">
        <f t="shared" si="32"/>
        <v>483238.54837499995</v>
      </c>
      <c r="BW63" s="11">
        <f t="shared" si="4"/>
        <v>3679402.2583399997</v>
      </c>
      <c r="BX63" s="37"/>
      <c r="BZ63" s="28">
        <v>34</v>
      </c>
      <c r="CA63" s="11">
        <f t="shared" si="11"/>
        <v>108.21771348058823</v>
      </c>
      <c r="CB63">
        <f t="shared" si="6"/>
        <v>4037500</v>
      </c>
      <c r="CC63" s="34">
        <f t="shared" si="25"/>
        <v>358097.74166000029</v>
      </c>
      <c r="CD63">
        <v>3440</v>
      </c>
      <c r="CE63" s="36">
        <f t="shared" si="26"/>
        <v>1.8276347905970809</v>
      </c>
      <c r="CF63" s="10">
        <f t="shared" si="19"/>
        <v>169.70892945239271</v>
      </c>
      <c r="CH63" s="11">
        <f t="shared" si="14"/>
        <v>3679402.2583399997</v>
      </c>
    </row>
    <row r="64" spans="1:86" x14ac:dyDescent="0.25">
      <c r="A64" s="25">
        <f t="shared" si="5"/>
        <v>1639</v>
      </c>
      <c r="B64" s="25"/>
      <c r="C64" s="25"/>
      <c r="D64" s="25"/>
      <c r="E64" s="25"/>
      <c r="F64" s="25">
        <f t="shared" si="0"/>
        <v>0</v>
      </c>
      <c r="G64" s="25"/>
      <c r="H64" s="26"/>
      <c r="I64" s="25"/>
      <c r="J64" s="25"/>
      <c r="K64" s="25"/>
      <c r="L64" s="25"/>
      <c r="M64" s="25">
        <f t="shared" si="1"/>
        <v>0</v>
      </c>
      <c r="O64">
        <v>92910.75</v>
      </c>
      <c r="P64">
        <v>39180.5</v>
      </c>
      <c r="Q64">
        <v>10159</v>
      </c>
      <c r="R64" s="11">
        <f t="shared" si="27"/>
        <v>1285375.6290899999</v>
      </c>
      <c r="S64" s="11">
        <f t="shared" si="27"/>
        <v>542043.41085999995</v>
      </c>
      <c r="T64" s="11">
        <f t="shared" si="27"/>
        <v>140544.88868</v>
      </c>
      <c r="U64" s="11">
        <f t="shared" si="28"/>
        <v>1967963.92863</v>
      </c>
      <c r="V64" s="11">
        <f t="shared" si="21"/>
        <v>2527978.3809699998</v>
      </c>
      <c r="Z64">
        <v>81417.75</v>
      </c>
      <c r="AC64">
        <v>29139.75</v>
      </c>
      <c r="AF64">
        <v>20283.25</v>
      </c>
      <c r="AG64" s="11">
        <f t="shared" si="22"/>
        <v>1126375.49073</v>
      </c>
      <c r="AH64" s="11">
        <f t="shared" si="23"/>
        <v>403134.45416999998</v>
      </c>
      <c r="AI64" s="11">
        <f t="shared" si="24"/>
        <v>280609.02778999996</v>
      </c>
      <c r="AJ64" s="35">
        <f t="shared" si="29"/>
        <v>0.11147291562153273</v>
      </c>
      <c r="AK64" s="31">
        <f t="shared" si="30"/>
        <v>0.6383531496827064</v>
      </c>
      <c r="AL64" s="13">
        <f>(38143.75+8476+8475)/Z64</f>
        <v>0.67669212180390637</v>
      </c>
      <c r="AM64" s="13">
        <f>(13417.75+3098+3097)/AC64</f>
        <v>0.67305827949793662</v>
      </c>
      <c r="AN64" s="13">
        <f xml:space="preserve"> (9247.25+2190+2190)/AF64</f>
        <v>0.67184746034289378</v>
      </c>
      <c r="AO64" s="11">
        <f t="shared" si="3"/>
        <v>1810118.97269</v>
      </c>
      <c r="AP64" s="32">
        <f t="shared" si="31"/>
        <v>1222068.8655699999</v>
      </c>
      <c r="AQ64">
        <f t="shared" si="18"/>
        <v>926538.61623400007</v>
      </c>
      <c r="AS64" s="32"/>
      <c r="AV64">
        <v>3061924</v>
      </c>
      <c r="AW64" s="11">
        <f t="shared" si="33"/>
        <v>1512866.0291599999</v>
      </c>
      <c r="AX64" t="s">
        <v>170</v>
      </c>
      <c r="AY64" s="11">
        <f t="shared" si="15"/>
        <v>963224.6999159999</v>
      </c>
      <c r="BD64" s="33">
        <f t="shared" si="32"/>
        <v>756433.01457999996</v>
      </c>
      <c r="BW64" s="11">
        <f t="shared" si="4"/>
        <v>5290948.9304799996</v>
      </c>
      <c r="BX64" s="37"/>
      <c r="BZ64" s="28">
        <v>36</v>
      </c>
      <c r="CA64" s="11">
        <f t="shared" si="11"/>
        <v>146.97080362444444</v>
      </c>
      <c r="CB64">
        <f t="shared" si="6"/>
        <v>4275000</v>
      </c>
      <c r="CC64" s="34">
        <f t="shared" si="25"/>
        <v>-1015948.9304799996</v>
      </c>
      <c r="CD64">
        <v>3644</v>
      </c>
      <c r="CE64" s="36">
        <f t="shared" si="26"/>
        <v>1.8516599552395121</v>
      </c>
      <c r="CF64" s="10">
        <f t="shared" si="19"/>
        <v>179.77306364084856</v>
      </c>
      <c r="CH64" s="11">
        <f t="shared" si="14"/>
        <v>5290948.9304799996</v>
      </c>
    </row>
    <row r="65" spans="1:86" x14ac:dyDescent="0.25">
      <c r="A65" s="25">
        <f t="shared" si="5"/>
        <v>1640</v>
      </c>
      <c r="B65" s="25"/>
      <c r="C65" s="25"/>
      <c r="D65" s="25"/>
      <c r="E65" s="25"/>
      <c r="F65" s="25">
        <f t="shared" si="0"/>
        <v>0</v>
      </c>
      <c r="G65" s="25"/>
      <c r="H65" s="26"/>
      <c r="I65" s="25"/>
      <c r="J65" s="25"/>
      <c r="K65" s="25"/>
      <c r="L65" s="25"/>
      <c r="M65" s="25">
        <f t="shared" si="1"/>
        <v>0</v>
      </c>
      <c r="O65">
        <v>154135.25</v>
      </c>
      <c r="P65">
        <v>60844.75</v>
      </c>
      <c r="Q65">
        <v>4420</v>
      </c>
      <c r="R65" s="11">
        <f t="shared" si="27"/>
        <v>2132387.1988300001</v>
      </c>
      <c r="S65" s="11">
        <f t="shared" si="27"/>
        <v>841757.91076999996</v>
      </c>
      <c r="T65" s="11">
        <f t="shared" si="27"/>
        <v>61148.578399999999</v>
      </c>
      <c r="U65" s="11">
        <f t="shared" si="28"/>
        <v>3035293.6880000001</v>
      </c>
      <c r="V65" s="11">
        <f t="shared" si="21"/>
        <v>2930154.7946299994</v>
      </c>
      <c r="Z65">
        <v>39745</v>
      </c>
      <c r="AC65">
        <v>4853.5</v>
      </c>
      <c r="AF65">
        <v>1791</v>
      </c>
      <c r="AG65" s="11">
        <f t="shared" si="22"/>
        <v>549852.99739999999</v>
      </c>
      <c r="AH65" s="11">
        <f t="shared" si="23"/>
        <v>67145.842819999991</v>
      </c>
      <c r="AI65" s="11">
        <f t="shared" si="24"/>
        <v>24777.625319999999</v>
      </c>
      <c r="AJ65" s="35">
        <f t="shared" si="29"/>
        <v>2.3368116498206283E-2</v>
      </c>
      <c r="AK65" s="31">
        <f t="shared" si="30"/>
        <v>0.72945037332174512</v>
      </c>
      <c r="AO65" s="11">
        <f t="shared" si="3"/>
        <v>641776.46554</v>
      </c>
      <c r="AP65" s="32"/>
      <c r="AQ65">
        <f t="shared" si="18"/>
        <v>1168891.0458679998</v>
      </c>
      <c r="AS65" s="32"/>
      <c r="AV65">
        <v>1503952</v>
      </c>
      <c r="AW65" s="11">
        <f t="shared" si="33"/>
        <v>743087.64367999998</v>
      </c>
      <c r="AX65" t="s">
        <v>171</v>
      </c>
      <c r="AY65" s="11">
        <f t="shared" si="15"/>
        <v>1042539.188892</v>
      </c>
      <c r="BD65" s="33">
        <f t="shared" si="32"/>
        <v>371543.82183999999</v>
      </c>
      <c r="BF65" s="11">
        <v>0</v>
      </c>
      <c r="BG65">
        <f>BC65</f>
        <v>0</v>
      </c>
      <c r="BW65" s="11">
        <f t="shared" si="4"/>
        <v>4420157.7972200001</v>
      </c>
      <c r="BX65" s="37"/>
      <c r="BZ65" s="28">
        <v>38</v>
      </c>
      <c r="CA65" s="11">
        <f t="shared" si="11"/>
        <v>116.31994203210526</v>
      </c>
      <c r="CB65">
        <f t="shared" si="6"/>
        <v>4512500</v>
      </c>
      <c r="CC65" s="34">
        <f t="shared" si="25"/>
        <v>92342.202779999934</v>
      </c>
      <c r="CD65">
        <v>4372</v>
      </c>
      <c r="CE65" s="36">
        <f t="shared" si="26"/>
        <v>1.4403878007866764</v>
      </c>
      <c r="CF65" s="10">
        <f t="shared" si="19"/>
        <v>215.68820917612234</v>
      </c>
      <c r="CH65" s="11">
        <f t="shared" si="14"/>
        <v>4420157.7972200001</v>
      </c>
    </row>
    <row r="66" spans="1:86" x14ac:dyDescent="0.25">
      <c r="A66" s="25">
        <f t="shared" si="5"/>
        <v>1641</v>
      </c>
      <c r="B66" s="25"/>
      <c r="C66" s="25"/>
      <c r="D66" s="25"/>
      <c r="E66" s="25"/>
      <c r="F66" s="25">
        <f t="shared" si="0"/>
        <v>0</v>
      </c>
      <c r="G66" s="25"/>
      <c r="H66" s="26"/>
      <c r="I66" s="25"/>
      <c r="J66" s="25"/>
      <c r="K66" s="25"/>
      <c r="L66" s="25"/>
      <c r="M66" s="25">
        <f t="shared" si="1"/>
        <v>0</v>
      </c>
      <c r="O66">
        <v>237817.5</v>
      </c>
      <c r="P66">
        <v>87762.5</v>
      </c>
      <c r="Q66">
        <v>27721</v>
      </c>
      <c r="R66" s="11">
        <f t="shared" si="27"/>
        <v>3290090.9600999998</v>
      </c>
      <c r="S66" s="11">
        <f t="shared" si="27"/>
        <v>1214152.0615000001</v>
      </c>
      <c r="T66" s="11">
        <f t="shared" si="27"/>
        <v>383506.72891999997</v>
      </c>
      <c r="U66" s="11">
        <f t="shared" si="28"/>
        <v>4887749.7505199993</v>
      </c>
      <c r="V66" s="11">
        <f t="shared" si="21"/>
        <v>3242913.863448</v>
      </c>
      <c r="Z66">
        <v>71377.75</v>
      </c>
      <c r="AC66">
        <v>17190.5</v>
      </c>
      <c r="AF66">
        <v>5693</v>
      </c>
      <c r="AG66" s="11">
        <f t="shared" si="22"/>
        <v>987476.90992999997</v>
      </c>
      <c r="AH66" s="11">
        <f t="shared" si="23"/>
        <v>237822.31605999998</v>
      </c>
      <c r="AI66" s="11">
        <f t="shared" si="24"/>
        <v>78759.922359999997</v>
      </c>
      <c r="AJ66" s="35">
        <f t="shared" si="29"/>
        <v>7.4657771069834428E-2</v>
      </c>
      <c r="AK66" s="31">
        <f t="shared" si="30"/>
        <v>0.69084300563776335</v>
      </c>
      <c r="AL66" s="13">
        <f>(30884.75+1872.5+8725)/Z66</f>
        <v>0.58116499889671502</v>
      </c>
      <c r="AM66" s="13">
        <f>(7808.5+1872.5+2225.5)/AC66</f>
        <v>0.69262092434775024</v>
      </c>
      <c r="AN66" s="13">
        <f>(3577+592.5+460)/AF66</f>
        <v>0.81319163885473389</v>
      </c>
      <c r="AO66" s="11">
        <f t="shared" si="3"/>
        <v>1304059.1483499999</v>
      </c>
      <c r="AP66" s="32">
        <f t="shared" si="31"/>
        <v>802654.63998999982</v>
      </c>
      <c r="AQ66">
        <f t="shared" si="18"/>
        <v>1094607.9741799999</v>
      </c>
      <c r="AS66" s="32"/>
      <c r="AV66">
        <v>2063202</v>
      </c>
      <c r="AW66" s="11">
        <f t="shared" si="33"/>
        <v>1019407.47618</v>
      </c>
      <c r="AX66" t="s">
        <v>170</v>
      </c>
      <c r="AY66" s="11">
        <f t="shared" si="15"/>
        <v>849243.76954200002</v>
      </c>
      <c r="BD66" s="33">
        <f t="shared" si="32"/>
        <v>509703.73809</v>
      </c>
      <c r="BF66" s="11">
        <f>AW66+BF65</f>
        <v>1019407.47618</v>
      </c>
      <c r="BG66">
        <f>BC66+BG65</f>
        <v>0</v>
      </c>
      <c r="BW66" s="11">
        <f t="shared" si="4"/>
        <v>7211216.375049999</v>
      </c>
      <c r="BX66" s="37"/>
      <c r="BZ66" s="28">
        <v>40</v>
      </c>
      <c r="CA66" s="11">
        <f t="shared" si="11"/>
        <v>180.28040937624996</v>
      </c>
      <c r="CB66">
        <f t="shared" si="6"/>
        <v>4750000</v>
      </c>
      <c r="CC66" s="34">
        <f t="shared" si="25"/>
        <v>-2461216.375049999</v>
      </c>
      <c r="CD66">
        <v>5486</v>
      </c>
      <c r="CE66" s="36">
        <f t="shared" si="26"/>
        <v>1.1223978886022865</v>
      </c>
      <c r="CF66" s="10">
        <f t="shared" si="19"/>
        <v>270.64627528367049</v>
      </c>
      <c r="CH66" s="11">
        <f t="shared" si="14"/>
        <v>7211216.375049999</v>
      </c>
    </row>
    <row r="67" spans="1:86" x14ac:dyDescent="0.25">
      <c r="A67" s="25">
        <f t="shared" si="5"/>
        <v>1642</v>
      </c>
      <c r="B67" s="25"/>
      <c r="C67" s="25"/>
      <c r="D67" s="25"/>
      <c r="E67" s="25"/>
      <c r="F67" s="25">
        <f t="shared" si="0"/>
        <v>0</v>
      </c>
      <c r="G67" s="25"/>
      <c r="H67" s="26"/>
      <c r="I67" s="25"/>
      <c r="J67" s="25"/>
      <c r="K67" s="25"/>
      <c r="L67" s="25"/>
      <c r="M67" s="25">
        <f t="shared" si="1"/>
        <v>0</v>
      </c>
      <c r="O67">
        <v>154431</v>
      </c>
      <c r="P67">
        <v>47757</v>
      </c>
      <c r="Q67">
        <v>5810</v>
      </c>
      <c r="R67" s="11">
        <f t="shared" si="27"/>
        <v>2136478.7581199999</v>
      </c>
      <c r="S67" s="11">
        <f t="shared" si="27"/>
        <v>660695.17163999996</v>
      </c>
      <c r="T67" s="11">
        <f t="shared" si="27"/>
        <v>80378.561199999996</v>
      </c>
      <c r="U67" s="11">
        <f t="shared" si="28"/>
        <v>2877552.4909599996</v>
      </c>
      <c r="V67" s="11">
        <f t="shared" si="21"/>
        <v>3481097.2604800002</v>
      </c>
      <c r="Z67">
        <v>70249.75</v>
      </c>
      <c r="AC67">
        <v>16563</v>
      </c>
      <c r="AF67">
        <v>4104</v>
      </c>
      <c r="AG67" s="11">
        <f t="shared" si="22"/>
        <v>971871.57137000002</v>
      </c>
      <c r="AH67" s="11">
        <f t="shared" si="23"/>
        <v>229141.15476</v>
      </c>
      <c r="AI67" s="11">
        <f t="shared" si="24"/>
        <v>56776.870080000001</v>
      </c>
      <c r="AJ67" s="35">
        <f t="shared" si="29"/>
        <v>3.3166647012233423E-2</v>
      </c>
      <c r="AK67" s="31">
        <f t="shared" si="30"/>
        <v>0.75165494509722253</v>
      </c>
      <c r="AL67" s="13">
        <f>(33469.5+6599+6115)/Z67</f>
        <v>0.65741870967512339</v>
      </c>
      <c r="AM67" s="13">
        <f>(7821+1586+1461)/AC67</f>
        <v>0.65616132343174549</v>
      </c>
      <c r="AN67" s="13">
        <f>(2572+19)/AF67</f>
        <v>0.63133528265107208</v>
      </c>
      <c r="AO67" s="11">
        <f t="shared" si="3"/>
        <v>1257789.5962100001</v>
      </c>
      <c r="AP67" s="32">
        <f t="shared" si="31"/>
        <v>825125.35910000012</v>
      </c>
      <c r="AQ67">
        <f t="shared" si="18"/>
        <v>798422.66032200004</v>
      </c>
      <c r="AS67" s="32"/>
      <c r="AV67">
        <v>1964941</v>
      </c>
      <c r="AW67" s="11">
        <f t="shared" si="33"/>
        <v>970857.69868999999</v>
      </c>
      <c r="AX67" t="s">
        <v>172</v>
      </c>
      <c r="AY67" s="11">
        <f t="shared" si="15"/>
        <v>546670.56371000002</v>
      </c>
      <c r="BA67" s="11">
        <v>124791.825</v>
      </c>
      <c r="BB67" s="16">
        <v>367034.7794117647</v>
      </c>
      <c r="BC67" s="11">
        <f t="shared" ref="BC67:BC74" si="34">BB67*$AW$4</f>
        <v>181348.21415955882</v>
      </c>
      <c r="BD67" s="33">
        <f t="shared" si="32"/>
        <v>485428.849345</v>
      </c>
      <c r="BE67" s="11">
        <f>BC67*2</f>
        <v>362696.42831911764</v>
      </c>
      <c r="BF67" s="11">
        <f t="shared" ref="BF67:BF125" si="35">AW67+BF66</f>
        <v>1990265.17487</v>
      </c>
      <c r="BG67">
        <f t="shared" ref="BG67:BG125" si="36">BC67+BG66</f>
        <v>181348.21415955882</v>
      </c>
      <c r="BH67" s="11">
        <f t="shared" ref="BH67:BH125" si="37">BG67/BF67*100</f>
        <v>9.1117614099540329</v>
      </c>
      <c r="BW67" s="11">
        <f t="shared" si="4"/>
        <v>5106199.7858600002</v>
      </c>
      <c r="BX67" s="37"/>
      <c r="BZ67" s="28">
        <f t="shared" ref="BZ67:BZ74" si="38">BZ66</f>
        <v>40</v>
      </c>
      <c r="CA67" s="11">
        <f t="shared" si="11"/>
        <v>127.65499464650001</v>
      </c>
      <c r="CB67">
        <f t="shared" si="6"/>
        <v>4750000</v>
      </c>
      <c r="CC67" s="34">
        <f t="shared" si="25"/>
        <v>-356199.78586000018</v>
      </c>
      <c r="CD67">
        <v>6665</v>
      </c>
      <c r="CE67" s="36">
        <f t="shared" si="26"/>
        <v>2.3162044900791523</v>
      </c>
      <c r="CF67" s="10">
        <f t="shared" si="19"/>
        <v>328.81105081401085</v>
      </c>
      <c r="CH67" s="11">
        <f t="shared" si="14"/>
        <v>5106199.7858600002</v>
      </c>
    </row>
    <row r="68" spans="1:86" x14ac:dyDescent="0.25">
      <c r="A68" s="25">
        <f t="shared" si="5"/>
        <v>1643</v>
      </c>
      <c r="B68" s="25"/>
      <c r="C68" s="25"/>
      <c r="D68" s="25"/>
      <c r="E68" s="25"/>
      <c r="F68" s="25">
        <f t="shared" si="0"/>
        <v>0</v>
      </c>
      <c r="G68" s="25"/>
      <c r="H68" s="26"/>
      <c r="I68" s="25">
        <v>10514</v>
      </c>
      <c r="J68" s="25"/>
      <c r="K68" s="27">
        <f>I68*$L$1</f>
        <v>145456.14327999999</v>
      </c>
      <c r="L68" s="25"/>
      <c r="M68" s="25">
        <f t="shared" si="1"/>
        <v>145456.14327999999</v>
      </c>
      <c r="O68">
        <v>183505</v>
      </c>
      <c r="P68">
        <v>65376.25</v>
      </c>
      <c r="Q68">
        <v>206.5</v>
      </c>
      <c r="R68" s="11">
        <f t="shared" si="27"/>
        <v>2538703.5926000001</v>
      </c>
      <c r="S68" s="11">
        <f t="shared" si="27"/>
        <v>904449.03814999992</v>
      </c>
      <c r="T68" s="11">
        <f t="shared" si="27"/>
        <v>2856.8283799999999</v>
      </c>
      <c r="U68" s="11">
        <f t="shared" si="28"/>
        <v>3446009.4591299999</v>
      </c>
      <c r="V68" s="11">
        <f t="shared" si="21"/>
        <v>3359558.2353759995</v>
      </c>
      <c r="Z68">
        <v>22320.75</v>
      </c>
      <c r="AC68">
        <v>9247.5</v>
      </c>
      <c r="AF68">
        <v>1631</v>
      </c>
      <c r="AG68" s="11">
        <f t="shared" si="22"/>
        <v>308796.86228999996</v>
      </c>
      <c r="AH68" s="11">
        <f t="shared" si="23"/>
        <v>127934.7237</v>
      </c>
      <c r="AI68" s="11">
        <f t="shared" si="24"/>
        <v>22564.10212</v>
      </c>
      <c r="AJ68" s="35">
        <f t="shared" si="29"/>
        <v>6.509332700407741E-3</v>
      </c>
      <c r="AK68" s="31">
        <f t="shared" si="30"/>
        <v>0.72913648166582246</v>
      </c>
      <c r="AL68" s="13">
        <f>(10211.25+3017+3742.5)/Z68</f>
        <v>0.76031271350649055</v>
      </c>
      <c r="AM68" s="13">
        <f>(3389.5+1851.5+1188)/AC68</f>
        <v>0.69521492295214926</v>
      </c>
      <c r="AN68" s="13">
        <f>(1252.25)/AF68</f>
        <v>0.76778050275904353</v>
      </c>
      <c r="AO68" s="11">
        <f t="shared" si="3"/>
        <v>459295.68810999993</v>
      </c>
      <c r="AP68" s="32">
        <f t="shared" si="31"/>
        <v>341048.58703999995</v>
      </c>
      <c r="AQ68">
        <f t="shared" si="18"/>
        <v>759266.12664000003</v>
      </c>
      <c r="AS68" s="32"/>
      <c r="AY68" s="11">
        <f t="shared" si="15"/>
        <v>653301.60887999996</v>
      </c>
      <c r="BA68" s="1">
        <v>651195.57500000007</v>
      </c>
      <c r="BB68" s="16">
        <v>2100630.8870967743</v>
      </c>
      <c r="BC68" s="11">
        <f t="shared" si="34"/>
        <v>1037900.7150056452</v>
      </c>
      <c r="BD68" s="33">
        <f t="shared" si="32"/>
        <v>0</v>
      </c>
      <c r="BE68" s="11">
        <f t="shared" ref="BE68:BE125" si="39">BC68*2</f>
        <v>2075801.4300112904</v>
      </c>
      <c r="BF68" s="11">
        <f t="shared" si="35"/>
        <v>1990265.17487</v>
      </c>
      <c r="BG68">
        <f t="shared" si="36"/>
        <v>1219248.9291652041</v>
      </c>
      <c r="BH68" s="11">
        <f t="shared" si="37"/>
        <v>61.260627204856902</v>
      </c>
      <c r="BW68" s="11">
        <f t="shared" si="4"/>
        <v>4050761.2905199998</v>
      </c>
      <c r="BX68" s="37"/>
      <c r="BZ68" s="28">
        <f t="shared" si="38"/>
        <v>40</v>
      </c>
      <c r="CA68" s="11">
        <f t="shared" si="11"/>
        <v>101.269032263</v>
      </c>
      <c r="CB68">
        <f t="shared" si="6"/>
        <v>4750000</v>
      </c>
      <c r="CC68" s="34">
        <f t="shared" si="25"/>
        <v>699238.70948000019</v>
      </c>
      <c r="CD68">
        <v>6105</v>
      </c>
      <c r="CE68" s="36">
        <f t="shared" si="26"/>
        <v>1.7716144057077849</v>
      </c>
      <c r="CF68" s="10">
        <f t="shared" si="19"/>
        <v>301.18401578687718</v>
      </c>
      <c r="CH68" s="11">
        <f t="shared" si="14"/>
        <v>4050761.2905199998</v>
      </c>
    </row>
    <row r="69" spans="1:86" x14ac:dyDescent="0.25">
      <c r="A69" s="25">
        <f t="shared" si="5"/>
        <v>1644</v>
      </c>
      <c r="B69" s="25"/>
      <c r="C69" s="25"/>
      <c r="D69" s="25"/>
      <c r="E69" s="25"/>
      <c r="F69" s="25">
        <f t="shared" ref="F69:F125" si="40">SUM(E69:E69)</f>
        <v>0</v>
      </c>
      <c r="G69" s="25"/>
      <c r="H69" s="26"/>
      <c r="I69" s="25"/>
      <c r="J69" s="25"/>
      <c r="K69" s="25"/>
      <c r="L69" s="25"/>
      <c r="M69" s="25">
        <f t="shared" ref="M69:M125" si="41">SUM(K69:L69)</f>
        <v>0</v>
      </c>
      <c r="O69">
        <v>159448.5</v>
      </c>
      <c r="P69">
        <v>67802.5</v>
      </c>
      <c r="Q69">
        <v>1082.25</v>
      </c>
      <c r="R69" s="11">
        <f t="shared" si="27"/>
        <v>2205893.4622200001</v>
      </c>
      <c r="S69" s="11">
        <f t="shared" si="27"/>
        <v>938015.04229999997</v>
      </c>
      <c r="T69" s="11">
        <f t="shared" si="27"/>
        <v>14972.40927</v>
      </c>
      <c r="U69" s="11">
        <f t="shared" si="28"/>
        <v>3158880.9137900001</v>
      </c>
      <c r="V69" s="11">
        <f t="shared" si="21"/>
        <v>2436740.4132960001</v>
      </c>
      <c r="Z69">
        <v>14376.5</v>
      </c>
      <c r="AC69">
        <v>6524.5</v>
      </c>
      <c r="AF69">
        <v>2894</v>
      </c>
      <c r="AG69" s="11">
        <f t="shared" si="22"/>
        <v>198891.97678</v>
      </c>
      <c r="AH69" s="11">
        <f t="shared" si="23"/>
        <v>90263.32574</v>
      </c>
      <c r="AI69" s="11">
        <f t="shared" si="24"/>
        <v>40037.100879999998</v>
      </c>
      <c r="AJ69" s="35">
        <f t="shared" si="29"/>
        <v>1.5770743659228984E-2</v>
      </c>
      <c r="AK69" s="31">
        <f t="shared" si="30"/>
        <v>0.68943087496145317</v>
      </c>
      <c r="AL69" s="13">
        <f>(1673.25+1230.5+687)/Z69</f>
        <v>0.24976524188780302</v>
      </c>
      <c r="AM69" s="13">
        <f>(1036.25+746+315)/AC69</f>
        <v>0.32144225611157945</v>
      </c>
      <c r="AN69" s="13">
        <f>(745.75)/AF69</f>
        <v>0.25768832066344161</v>
      </c>
      <c r="AO69" s="11">
        <f t="shared" ref="AO69:AO122" si="42">SUM(AG69:AI69)</f>
        <v>329192.40340000001</v>
      </c>
      <c r="AP69" s="32">
        <f t="shared" si="31"/>
        <v>89007.84305000001</v>
      </c>
      <c r="AQ69">
        <f t="shared" si="18"/>
        <v>652973.4343020001</v>
      </c>
      <c r="AS69" s="32"/>
      <c r="AY69" s="11">
        <f t="shared" si="15"/>
        <v>449420.11364399997</v>
      </c>
      <c r="BA69" s="1">
        <v>423889.47500000003</v>
      </c>
      <c r="BB69" s="16">
        <v>1211112.7857142859</v>
      </c>
      <c r="BC69" s="11">
        <f t="shared" si="34"/>
        <v>598398.71629357152</v>
      </c>
      <c r="BD69" s="33">
        <f t="shared" si="32"/>
        <v>0</v>
      </c>
      <c r="BE69" s="11">
        <f t="shared" si="39"/>
        <v>1196797.432587143</v>
      </c>
      <c r="BF69" s="11">
        <f t="shared" si="35"/>
        <v>1990265.17487</v>
      </c>
      <c r="BG69">
        <f t="shared" si="36"/>
        <v>1817647.6454587756</v>
      </c>
      <c r="BH69" s="11">
        <f t="shared" si="37"/>
        <v>91.326908012521528</v>
      </c>
      <c r="BW69" s="11">
        <f t="shared" ref="BW69:BW125" si="43">BO69+AO69+U69+M69+F69+BT69+AW69</f>
        <v>3488073.3171900003</v>
      </c>
      <c r="BZ69" s="28">
        <f t="shared" si="38"/>
        <v>40</v>
      </c>
      <c r="CA69" s="11">
        <f t="shared" si="11"/>
        <v>87.201832929749997</v>
      </c>
      <c r="CB69">
        <f t="shared" si="6"/>
        <v>4750000</v>
      </c>
      <c r="CC69" s="34">
        <f t="shared" si="25"/>
        <v>1261926.6828099997</v>
      </c>
      <c r="CD69">
        <v>6242</v>
      </c>
      <c r="CE69" s="36">
        <f t="shared" si="26"/>
        <v>1.9760162444714948</v>
      </c>
      <c r="CF69" s="10">
        <f t="shared" si="19"/>
        <v>307.94277257030092</v>
      </c>
      <c r="CH69" s="11">
        <f t="shared" si="14"/>
        <v>3488073.3171900003</v>
      </c>
    </row>
    <row r="70" spans="1:86" x14ac:dyDescent="0.25">
      <c r="A70" s="25">
        <f t="shared" ref="A70:A125" si="44">A69+1</f>
        <v>1645</v>
      </c>
      <c r="B70" s="25"/>
      <c r="C70" s="25"/>
      <c r="D70" s="25"/>
      <c r="E70" s="25"/>
      <c r="F70" s="25">
        <f t="shared" si="40"/>
        <v>0</v>
      </c>
      <c r="G70" s="25"/>
      <c r="H70" s="26"/>
      <c r="I70" s="25"/>
      <c r="J70" s="25">
        <v>4035</v>
      </c>
      <c r="K70" s="25"/>
      <c r="L70" s="27">
        <f>J70*$L$1</f>
        <v>55822.288199999995</v>
      </c>
      <c r="M70" s="25">
        <f t="shared" si="41"/>
        <v>55822.288199999995</v>
      </c>
      <c r="O70">
        <v>128855.5</v>
      </c>
      <c r="P70">
        <v>42810.5</v>
      </c>
      <c r="Q70">
        <v>3808</v>
      </c>
      <c r="R70" s="11">
        <f t="shared" si="27"/>
        <v>1782653.99186</v>
      </c>
      <c r="S70" s="11">
        <f t="shared" si="27"/>
        <v>592262.71846</v>
      </c>
      <c r="T70" s="11">
        <f t="shared" si="27"/>
        <v>52681.852159999995</v>
      </c>
      <c r="U70" s="11">
        <f t="shared" si="28"/>
        <v>2427598.5624799998</v>
      </c>
      <c r="V70" s="11">
        <f t="shared" si="21"/>
        <v>1929088.2357039999</v>
      </c>
      <c r="Z70">
        <v>21321.5</v>
      </c>
      <c r="AC70">
        <v>9798.25</v>
      </c>
      <c r="AF70">
        <v>1118</v>
      </c>
      <c r="AG70" s="11">
        <f t="shared" si="22"/>
        <v>294972.71817999997</v>
      </c>
      <c r="AH70" s="11">
        <f t="shared" si="23"/>
        <v>135554.08559</v>
      </c>
      <c r="AI70" s="11">
        <f t="shared" si="24"/>
        <v>15466.993359999999</v>
      </c>
      <c r="AJ70" s="35">
        <f t="shared" si="29"/>
        <v>2.3715557738067296E-2</v>
      </c>
      <c r="AK70" s="31">
        <f t="shared" si="30"/>
        <v>0.72300676297802124</v>
      </c>
      <c r="AL70" s="13">
        <f>(5983.5+1801+1465.5)/Z70</f>
        <v>0.43383439251459793</v>
      </c>
      <c r="AM70" s="13">
        <f>(2671+1502.5+931.5)/AC70</f>
        <v>0.52101140509784916</v>
      </c>
      <c r="AN70" s="13">
        <f>(666.25)/AF70</f>
        <v>0.59593023255813948</v>
      </c>
      <c r="AO70" s="11">
        <f t="shared" si="42"/>
        <v>445993.79713000002</v>
      </c>
      <c r="AP70" s="32">
        <f t="shared" si="31"/>
        <v>207811.78354999999</v>
      </c>
      <c r="AQ70">
        <f t="shared" si="18"/>
        <v>501434.25257799996</v>
      </c>
      <c r="AS70" s="32"/>
      <c r="AV70">
        <v>2583017</v>
      </c>
      <c r="AW70" s="11">
        <f>AV70*$AW$4</f>
        <v>1276242.86953</v>
      </c>
      <c r="AX70" t="s">
        <v>173</v>
      </c>
      <c r="AY70" s="11">
        <f t="shared" si="15"/>
        <v>600393.85877199995</v>
      </c>
      <c r="BA70" s="1">
        <v>299393.7</v>
      </c>
      <c r="BB70" s="16">
        <v>767676.15384615387</v>
      </c>
      <c r="BC70" s="11">
        <f t="shared" si="34"/>
        <v>379301.11085384613</v>
      </c>
      <c r="BD70" s="33">
        <f t="shared" si="32"/>
        <v>638121.43476500001</v>
      </c>
      <c r="BE70" s="11">
        <f t="shared" si="39"/>
        <v>758602.22170769225</v>
      </c>
      <c r="BF70" s="11">
        <f t="shared" si="35"/>
        <v>3266508.0444</v>
      </c>
      <c r="BG70">
        <f t="shared" si="36"/>
        <v>2196948.7563126218</v>
      </c>
      <c r="BH70" s="11">
        <f t="shared" si="37"/>
        <v>67.256799201183739</v>
      </c>
      <c r="BW70" s="11">
        <f t="shared" si="43"/>
        <v>4205657.5173399998</v>
      </c>
      <c r="BZ70" s="28">
        <f t="shared" si="38"/>
        <v>40</v>
      </c>
      <c r="CA70" s="11">
        <f t="shared" si="11"/>
        <v>105.1414379335</v>
      </c>
      <c r="CB70">
        <f t="shared" ref="CB70:CB75" si="45">BZ70*$CB$4*0.95</f>
        <v>4750000</v>
      </c>
      <c r="CC70" s="34">
        <f t="shared" si="25"/>
        <v>544342.48266000021</v>
      </c>
      <c r="CD70">
        <v>7457</v>
      </c>
      <c r="CE70" s="36">
        <f t="shared" si="26"/>
        <v>3.0717599339744357</v>
      </c>
      <c r="CF70" s="10">
        <f t="shared" si="19"/>
        <v>367.88357178095708</v>
      </c>
      <c r="CH70" s="11">
        <f t="shared" si="14"/>
        <v>4205657.5173399998</v>
      </c>
    </row>
    <row r="71" spans="1:86" x14ac:dyDescent="0.25">
      <c r="A71" s="25">
        <f t="shared" si="44"/>
        <v>1646</v>
      </c>
      <c r="B71" s="25"/>
      <c r="C71" s="25"/>
      <c r="D71" s="25"/>
      <c r="E71" s="25"/>
      <c r="F71" s="25">
        <f t="shared" si="40"/>
        <v>0</v>
      </c>
      <c r="G71" s="25"/>
      <c r="H71" s="26"/>
      <c r="I71" s="25"/>
      <c r="J71" s="25"/>
      <c r="K71" s="25"/>
      <c r="L71" s="25"/>
      <c r="M71" s="25">
        <f t="shared" si="41"/>
        <v>0</v>
      </c>
      <c r="O71">
        <v>13463</v>
      </c>
      <c r="P71">
        <v>6318</v>
      </c>
      <c r="R71" s="11">
        <f t="shared" si="27"/>
        <v>186254.14275999999</v>
      </c>
      <c r="S71" s="11">
        <f t="shared" si="27"/>
        <v>87406.497359999994</v>
      </c>
      <c r="T71" s="11">
        <f t="shared" si="27"/>
        <v>0</v>
      </c>
      <c r="U71" s="11">
        <f t="shared" si="28"/>
        <v>273660.64012</v>
      </c>
      <c r="V71" s="11">
        <f t="shared" si="21"/>
        <v>1297987.1775219999</v>
      </c>
      <c r="Z71">
        <v>41972.5</v>
      </c>
      <c r="AC71">
        <v>13873</v>
      </c>
      <c r="AG71" s="11">
        <f t="shared" si="22"/>
        <v>580669.39069999999</v>
      </c>
      <c r="AH71" s="11">
        <f t="shared" si="23"/>
        <v>191926.29595999999</v>
      </c>
      <c r="AI71" s="11">
        <f t="shared" si="24"/>
        <v>0</v>
      </c>
      <c r="AJ71" s="35">
        <f t="shared" si="29"/>
        <v>0</v>
      </c>
      <c r="AK71" s="31">
        <f t="shared" si="30"/>
        <v>0.73301686578117453</v>
      </c>
      <c r="AL71" s="13">
        <f>(20539+6528)/Z71</f>
        <v>0.64487462028709275</v>
      </c>
      <c r="AM71" s="13">
        <f>(9054+1847.5)/AC71</f>
        <v>0.78580696316586174</v>
      </c>
      <c r="AN71" s="13"/>
      <c r="AO71" s="11">
        <f t="shared" si="42"/>
        <v>772595.68666000001</v>
      </c>
      <c r="AP71" s="32">
        <f t="shared" si="31"/>
        <v>525275.97262000002</v>
      </c>
      <c r="AQ71">
        <f t="shared" si="18"/>
        <v>509593.85247400001</v>
      </c>
      <c r="AS71" s="32"/>
      <c r="AY71" s="11">
        <f t="shared" si="15"/>
        <v>600393.85877199995</v>
      </c>
      <c r="BA71" s="1">
        <v>147693.625</v>
      </c>
      <c r="BB71" s="16">
        <v>259111.62280701756</v>
      </c>
      <c r="BC71" s="11">
        <f t="shared" si="34"/>
        <v>128024.46171271929</v>
      </c>
      <c r="BD71" s="33">
        <f t="shared" si="32"/>
        <v>0</v>
      </c>
      <c r="BE71" s="11">
        <f t="shared" si="39"/>
        <v>256048.92342543858</v>
      </c>
      <c r="BF71" s="11">
        <f t="shared" si="35"/>
        <v>3266508.0444</v>
      </c>
      <c r="BG71">
        <f t="shared" si="36"/>
        <v>2324973.2180253412</v>
      </c>
      <c r="BH71" s="11">
        <f t="shared" si="37"/>
        <v>71.176105689107459</v>
      </c>
      <c r="BW71" s="11">
        <f t="shared" si="43"/>
        <v>1046256.32678</v>
      </c>
      <c r="BZ71" s="28">
        <f t="shared" si="38"/>
        <v>40</v>
      </c>
      <c r="CA71" s="11">
        <f t="shared" si="11"/>
        <v>26.156408169499997</v>
      </c>
      <c r="CB71">
        <f t="shared" si="45"/>
        <v>4750000</v>
      </c>
      <c r="CC71" s="34">
        <f t="shared" si="25"/>
        <v>3703743.6732200002</v>
      </c>
      <c r="CD71">
        <v>5871</v>
      </c>
      <c r="CE71" s="36">
        <f t="shared" si="26"/>
        <v>21.453578408007708</v>
      </c>
      <c r="CF71" s="10">
        <f t="shared" si="19"/>
        <v>289.63986186482487</v>
      </c>
      <c r="CH71" s="11">
        <f t="shared" si="14"/>
        <v>1046256.32678</v>
      </c>
    </row>
    <row r="72" spans="1:86" x14ac:dyDescent="0.25">
      <c r="A72" s="25">
        <f t="shared" si="44"/>
        <v>1647</v>
      </c>
      <c r="B72" s="25"/>
      <c r="C72" s="25"/>
      <c r="D72" s="25"/>
      <c r="E72" s="25"/>
      <c r="F72" s="25">
        <f t="shared" si="40"/>
        <v>0</v>
      </c>
      <c r="G72" s="25"/>
      <c r="H72" s="26"/>
      <c r="I72" s="25"/>
      <c r="J72" s="25"/>
      <c r="K72" s="25"/>
      <c r="L72" s="25"/>
      <c r="M72" s="25">
        <f t="shared" si="41"/>
        <v>0</v>
      </c>
      <c r="O72">
        <v>15621</v>
      </c>
      <c r="P72">
        <v>6614</v>
      </c>
      <c r="Q72">
        <v>2290</v>
      </c>
      <c r="R72" s="11">
        <f t="shared" si="27"/>
        <v>216109.03691999998</v>
      </c>
      <c r="S72" s="11">
        <f t="shared" si="27"/>
        <v>91501.515279999992</v>
      </c>
      <c r="T72" s="11">
        <f t="shared" si="27"/>
        <v>31681.050799999997</v>
      </c>
      <c r="U72" s="11">
        <f t="shared" si="28"/>
        <v>339291.603</v>
      </c>
      <c r="V72" s="11">
        <f t="shared" si="21"/>
        <v>743882.14040000003</v>
      </c>
      <c r="Z72">
        <f>46144/2</f>
        <v>23072</v>
      </c>
      <c r="AC72">
        <f>21773.5/2</f>
        <v>10886.75</v>
      </c>
      <c r="AF72">
        <f>4379/2</f>
        <v>2189.5</v>
      </c>
      <c r="AG72" s="11">
        <f t="shared" si="22"/>
        <v>319190.04544000002</v>
      </c>
      <c r="AH72" s="11">
        <f t="shared" si="23"/>
        <v>150612.96060999998</v>
      </c>
      <c r="AI72" s="11">
        <f t="shared" si="24"/>
        <v>30290.681539999998</v>
      </c>
      <c r="AJ72" s="35">
        <f t="shared" si="29"/>
        <v>7.3829900326750256E-2</v>
      </c>
      <c r="AK72" s="31">
        <f t="shared" si="30"/>
        <v>0.63772749935103201</v>
      </c>
      <c r="AL72" s="13">
        <f>0.5*((17036+3702+(0.5*5782))/Z72)</f>
        <v>0.51207090846047154</v>
      </c>
      <c r="AM72" s="13">
        <f>0.5*((10027+1852+(0.5*2892.5))/AC72)</f>
        <v>0.61199393758467857</v>
      </c>
      <c r="AN72" s="13">
        <f>0.5*((3409)/AF72)</f>
        <v>0.77848823932404654</v>
      </c>
      <c r="AO72" s="11">
        <f t="shared" si="42"/>
        <v>500093.68758999999</v>
      </c>
      <c r="AP72" s="32">
        <f t="shared" si="31"/>
        <v>279203.09469499998</v>
      </c>
      <c r="AQ72">
        <f t="shared" si="18"/>
        <v>443755.37179399998</v>
      </c>
      <c r="AS72" s="32"/>
      <c r="AV72">
        <v>3492737</v>
      </c>
      <c r="AW72" s="11">
        <f>AV72*$AW$4</f>
        <v>1725726.4243299998</v>
      </c>
      <c r="AX72" t="s">
        <v>174</v>
      </c>
      <c r="AY72" s="11">
        <f t="shared" si="15"/>
        <v>689157.81899799989</v>
      </c>
      <c r="BA72" s="1">
        <v>336255</v>
      </c>
      <c r="BB72" s="16">
        <v>672510</v>
      </c>
      <c r="BC72" s="11">
        <f t="shared" si="34"/>
        <v>332280.46590000001</v>
      </c>
      <c r="BD72" s="33">
        <f t="shared" si="32"/>
        <v>862863.21216499992</v>
      </c>
      <c r="BE72" s="11">
        <f t="shared" si="39"/>
        <v>664560.93180000002</v>
      </c>
      <c r="BF72" s="11">
        <f t="shared" si="35"/>
        <v>4992234.4687299998</v>
      </c>
      <c r="BG72">
        <f t="shared" si="36"/>
        <v>2657253.6839253413</v>
      </c>
      <c r="BH72" s="11">
        <f t="shared" si="37"/>
        <v>53.227742017520541</v>
      </c>
      <c r="BW72" s="11">
        <f t="shared" si="43"/>
        <v>2565111.7149199997</v>
      </c>
      <c r="BZ72" s="28">
        <f t="shared" si="38"/>
        <v>40</v>
      </c>
      <c r="CA72" s="11">
        <f t="shared" si="11"/>
        <v>64.12779287299999</v>
      </c>
      <c r="CB72">
        <f t="shared" si="45"/>
        <v>4750000</v>
      </c>
      <c r="CC72" s="34">
        <f t="shared" si="25"/>
        <v>2184888.2850800003</v>
      </c>
      <c r="CD72">
        <v>8687</v>
      </c>
      <c r="CE72" s="36">
        <f t="shared" si="26"/>
        <v>25.603345096636534</v>
      </c>
      <c r="CF72" s="10">
        <f t="shared" si="19"/>
        <v>428.56438085841148</v>
      </c>
      <c r="CH72" s="11">
        <f t="shared" si="14"/>
        <v>2565111.7149199997</v>
      </c>
    </row>
    <row r="73" spans="1:86" x14ac:dyDescent="0.25">
      <c r="A73" s="25">
        <f t="shared" si="44"/>
        <v>1648</v>
      </c>
      <c r="B73" s="25"/>
      <c r="C73" s="25"/>
      <c r="D73" s="25"/>
      <c r="E73" s="25"/>
      <c r="F73" s="25">
        <f t="shared" si="40"/>
        <v>0</v>
      </c>
      <c r="G73" s="25"/>
      <c r="H73" s="26"/>
      <c r="I73" s="25"/>
      <c r="J73" s="25"/>
      <c r="K73" s="25"/>
      <c r="L73" s="25"/>
      <c r="M73" s="25">
        <f t="shared" si="41"/>
        <v>0</v>
      </c>
      <c r="O73">
        <v>13709.5</v>
      </c>
      <c r="P73">
        <v>7250</v>
      </c>
      <c r="Q73">
        <v>39</v>
      </c>
      <c r="R73" s="11">
        <f t="shared" si="27"/>
        <v>189664.35193999999</v>
      </c>
      <c r="S73" s="11">
        <f t="shared" si="27"/>
        <v>100300.26999999999</v>
      </c>
      <c r="T73" s="11">
        <f t="shared" si="27"/>
        <v>539.54628000000002</v>
      </c>
      <c r="U73" s="11">
        <f t="shared" si="28"/>
        <v>290504.16821999999</v>
      </c>
      <c r="V73" s="11">
        <f t="shared" si="21"/>
        <v>302144.53334800003</v>
      </c>
      <c r="Z73">
        <f>46144/2</f>
        <v>23072</v>
      </c>
      <c r="AC73">
        <f>21773.5/2</f>
        <v>10886.75</v>
      </c>
      <c r="AF73">
        <f>4379/2</f>
        <v>2189.5</v>
      </c>
      <c r="AG73" s="11">
        <f t="shared" si="22"/>
        <v>319190.04544000002</v>
      </c>
      <c r="AH73" s="11">
        <f t="shared" si="23"/>
        <v>150612.96060999998</v>
      </c>
      <c r="AI73" s="11">
        <f t="shared" si="24"/>
        <v>30290.681539999998</v>
      </c>
      <c r="AJ73" s="35">
        <f t="shared" si="29"/>
        <v>3.8996093391137722E-2</v>
      </c>
      <c r="AK73" s="31">
        <f t="shared" si="30"/>
        <v>0.64363240254257681</v>
      </c>
      <c r="AL73" s="13">
        <f>0.5*((17036+3702+(0.5*5782))/Z73)</f>
        <v>0.51207090846047154</v>
      </c>
      <c r="AM73" s="13">
        <f>0.5*((10027+1852+(0.5*2892.5))/AC73)</f>
        <v>0.61199393758467857</v>
      </c>
      <c r="AN73" s="13">
        <f>0.5*((3409)/AF73)</f>
        <v>0.77848823932404654</v>
      </c>
      <c r="AO73" s="11">
        <f t="shared" si="42"/>
        <v>500093.68758999999</v>
      </c>
      <c r="AP73" s="32">
        <f t="shared" si="31"/>
        <v>279203.09469499998</v>
      </c>
      <c r="AQ73">
        <f t="shared" si="18"/>
        <v>354556.61236799997</v>
      </c>
      <c r="AS73" s="32"/>
      <c r="AY73" s="11">
        <f t="shared" si="15"/>
        <v>433909.245092</v>
      </c>
      <c r="BA73" s="1">
        <v>20502.099999999999</v>
      </c>
      <c r="BB73" s="16">
        <v>47679.30232558139</v>
      </c>
      <c r="BC73" s="11">
        <f t="shared" si="34"/>
        <v>23557.866486046507</v>
      </c>
      <c r="BD73" s="33">
        <f t="shared" si="32"/>
        <v>0</v>
      </c>
      <c r="BE73" s="11">
        <f t="shared" si="39"/>
        <v>47115.732972093014</v>
      </c>
      <c r="BF73" s="11">
        <f t="shared" si="35"/>
        <v>4992234.4687299998</v>
      </c>
      <c r="BG73">
        <f t="shared" si="36"/>
        <v>2680811.5504113878</v>
      </c>
      <c r="BH73" s="11">
        <f t="shared" si="37"/>
        <v>53.699632242901707</v>
      </c>
      <c r="BW73" s="11">
        <f t="shared" si="43"/>
        <v>790597.85580999998</v>
      </c>
      <c r="BZ73" s="28">
        <f t="shared" si="38"/>
        <v>40</v>
      </c>
      <c r="CA73" s="11">
        <f t="shared" si="11"/>
        <v>19.76494639525</v>
      </c>
      <c r="CB73">
        <f t="shared" si="45"/>
        <v>4750000</v>
      </c>
      <c r="CC73" s="34">
        <f t="shared" si="25"/>
        <v>3959402.1441899999</v>
      </c>
      <c r="CD73">
        <v>8785</v>
      </c>
      <c r="CE73" s="36">
        <f t="shared" si="26"/>
        <v>30.240529951181575</v>
      </c>
      <c r="CF73" s="10">
        <f t="shared" si="19"/>
        <v>433.3991119881598</v>
      </c>
      <c r="CH73" s="11">
        <f t="shared" si="14"/>
        <v>790597.85580999998</v>
      </c>
    </row>
    <row r="74" spans="1:86" x14ac:dyDescent="0.25">
      <c r="A74" s="25">
        <f t="shared" si="44"/>
        <v>1649</v>
      </c>
      <c r="B74" s="25"/>
      <c r="C74" s="25"/>
      <c r="D74" s="25"/>
      <c r="E74" s="25"/>
      <c r="F74" s="25">
        <f t="shared" si="40"/>
        <v>0</v>
      </c>
      <c r="G74" s="25"/>
      <c r="H74" s="26"/>
      <c r="I74" s="25"/>
      <c r="J74" s="25"/>
      <c r="K74" s="25"/>
      <c r="L74" s="25"/>
      <c r="M74" s="25">
        <f t="shared" si="41"/>
        <v>0</v>
      </c>
      <c r="O74">
        <v>18343</v>
      </c>
      <c r="P74">
        <v>9536</v>
      </c>
      <c r="Q74">
        <v>192.5</v>
      </c>
      <c r="R74" s="11">
        <f t="shared" si="27"/>
        <v>253766.60035999998</v>
      </c>
      <c r="S74" s="11">
        <f t="shared" si="27"/>
        <v>131925.98272</v>
      </c>
      <c r="T74" s="11">
        <f t="shared" si="27"/>
        <v>2663.1450999999997</v>
      </c>
      <c r="U74" s="11">
        <f t="shared" si="28"/>
        <v>388355.72818000003</v>
      </c>
      <c r="V74" s="11">
        <f t="shared" si="21"/>
        <v>257221.08000400002</v>
      </c>
      <c r="AJ74" s="38"/>
      <c r="AK74" s="39"/>
      <c r="AO74" s="11">
        <f t="shared" si="42"/>
        <v>0</v>
      </c>
      <c r="AQ74">
        <f t="shared" si="18"/>
        <v>200037.47503599999</v>
      </c>
      <c r="AV74">
        <v>898257</v>
      </c>
      <c r="AW74" s="11">
        <f>AV74*$AW$4</f>
        <v>443819.80112999998</v>
      </c>
      <c r="AX74" t="s">
        <v>175</v>
      </c>
      <c r="AY74" s="11">
        <f t="shared" si="15"/>
        <v>433909.245092</v>
      </c>
      <c r="BA74" s="1">
        <v>234497.375</v>
      </c>
      <c r="BB74" s="16">
        <v>450956.49038461538</v>
      </c>
      <c r="BC74" s="11">
        <f t="shared" si="34"/>
        <v>222813.09233413459</v>
      </c>
      <c r="BD74" s="33">
        <f t="shared" si="32"/>
        <v>221909.90056499999</v>
      </c>
      <c r="BE74" s="11">
        <f t="shared" si="39"/>
        <v>445626.18466826918</v>
      </c>
      <c r="BF74" s="11">
        <f t="shared" si="35"/>
        <v>5436054.2698599994</v>
      </c>
      <c r="BG74">
        <f t="shared" si="36"/>
        <v>2903624.6427455223</v>
      </c>
      <c r="BH74" s="11">
        <f t="shared" si="37"/>
        <v>53.414195271091401</v>
      </c>
      <c r="BW74" s="11">
        <f t="shared" si="43"/>
        <v>832175.52931000001</v>
      </c>
      <c r="BZ74" s="28">
        <f t="shared" si="38"/>
        <v>40</v>
      </c>
      <c r="CA74" s="11">
        <f t="shared" si="11"/>
        <v>20.80438823275</v>
      </c>
      <c r="CB74">
        <f t="shared" si="45"/>
        <v>4750000</v>
      </c>
      <c r="CC74" s="34">
        <f t="shared" si="25"/>
        <v>3917824.4706899999</v>
      </c>
      <c r="CD74">
        <v>8495</v>
      </c>
      <c r="CE74" s="36">
        <f t="shared" si="26"/>
        <v>21.874275010210816</v>
      </c>
      <c r="CF74" s="10">
        <f t="shared" si="19"/>
        <v>419.09225456339419</v>
      </c>
      <c r="CH74" s="11">
        <f t="shared" si="14"/>
        <v>832175.52931000001</v>
      </c>
    </row>
    <row r="75" spans="1:86" x14ac:dyDescent="0.25">
      <c r="A75" s="25">
        <f t="shared" si="44"/>
        <v>1650</v>
      </c>
      <c r="B75" s="25"/>
      <c r="C75" s="25"/>
      <c r="D75" s="25"/>
      <c r="E75" s="25"/>
      <c r="F75" s="25">
        <f t="shared" si="40"/>
        <v>0</v>
      </c>
      <c r="G75" s="25"/>
      <c r="H75" s="26"/>
      <c r="I75" s="25"/>
      <c r="J75" s="25"/>
      <c r="K75" s="25"/>
      <c r="L75" s="25"/>
      <c r="M75" s="25">
        <f t="shared" si="41"/>
        <v>0</v>
      </c>
      <c r="O75">
        <v>11509</v>
      </c>
      <c r="P75">
        <v>4314.5</v>
      </c>
      <c r="R75" s="11">
        <f t="shared" si="27"/>
        <v>159221.49067999999</v>
      </c>
      <c r="S75" s="11">
        <f t="shared" si="27"/>
        <v>59689.036540000001</v>
      </c>
      <c r="T75" s="11">
        <f t="shared" si="27"/>
        <v>0</v>
      </c>
      <c r="U75" s="11">
        <f t="shared" si="28"/>
        <v>218910.52721999999</v>
      </c>
      <c r="V75" s="11">
        <f t="shared" si="21"/>
        <v>189362.75940400001</v>
      </c>
      <c r="AO75" s="11">
        <f t="shared" si="42"/>
        <v>0</v>
      </c>
      <c r="AQ75">
        <f t="shared" si="18"/>
        <v>100018.73751799999</v>
      </c>
      <c r="AY75" s="11">
        <f t="shared" si="15"/>
        <v>182156.55557200001</v>
      </c>
      <c r="BA75" s="1">
        <v>306727.47500000003</v>
      </c>
      <c r="BB75">
        <v>641157</v>
      </c>
      <c r="BC75" s="11">
        <f>BB75*$AW$4</f>
        <v>316789.26212999999</v>
      </c>
      <c r="BD75" s="33">
        <f t="shared" si="32"/>
        <v>0</v>
      </c>
      <c r="BE75" s="11">
        <f t="shared" si="39"/>
        <v>633578.52425999998</v>
      </c>
      <c r="BF75" s="11">
        <f t="shared" si="35"/>
        <v>5436054.2698599994</v>
      </c>
      <c r="BG75">
        <f t="shared" si="36"/>
        <v>3220413.9048755225</v>
      </c>
      <c r="BH75" s="11">
        <f t="shared" si="37"/>
        <v>59.241754129111392</v>
      </c>
      <c r="BW75" s="11">
        <f t="shared" si="43"/>
        <v>218910.52721999999</v>
      </c>
      <c r="BZ75" s="8">
        <v>40</v>
      </c>
      <c r="CA75" s="11">
        <f t="shared" si="11"/>
        <v>5.4727631805000003</v>
      </c>
      <c r="CB75">
        <f t="shared" si="45"/>
        <v>4750000</v>
      </c>
      <c r="CC75" s="34">
        <f t="shared" si="25"/>
        <v>4531089.4727800004</v>
      </c>
      <c r="CD75">
        <v>10792</v>
      </c>
      <c r="CE75" s="36">
        <f t="shared" si="26"/>
        <v>49.298679862728989</v>
      </c>
      <c r="CF75" s="10">
        <f t="shared" si="19"/>
        <v>532.4124321657622</v>
      </c>
      <c r="CH75" s="11">
        <f t="shared" si="14"/>
        <v>218910.52721999999</v>
      </c>
    </row>
    <row r="76" spans="1:86" x14ac:dyDescent="0.25">
      <c r="A76" s="25">
        <f t="shared" si="44"/>
        <v>1651</v>
      </c>
      <c r="B76" s="25"/>
      <c r="C76" s="25"/>
      <c r="D76" s="25"/>
      <c r="E76" s="25"/>
      <c r="F76" s="25">
        <f t="shared" si="40"/>
        <v>0</v>
      </c>
      <c r="G76" s="25"/>
      <c r="H76" s="26"/>
      <c r="I76" s="25"/>
      <c r="J76" s="25"/>
      <c r="K76" s="25"/>
      <c r="L76" s="25"/>
      <c r="M76" s="25">
        <f t="shared" si="41"/>
        <v>0</v>
      </c>
      <c r="O76">
        <v>2667</v>
      </c>
      <c r="P76">
        <v>878</v>
      </c>
      <c r="R76" s="11">
        <f t="shared" si="27"/>
        <v>36896.664839999998</v>
      </c>
      <c r="S76" s="11">
        <f t="shared" si="27"/>
        <v>12146.708559999999</v>
      </c>
      <c r="T76" s="11">
        <f t="shared" si="27"/>
        <v>0</v>
      </c>
      <c r="U76" s="11">
        <f t="shared" si="28"/>
        <v>49043.373399999997</v>
      </c>
      <c r="V76" s="11">
        <f t="shared" si="21"/>
        <v>131261.92576000001</v>
      </c>
      <c r="AO76" s="11">
        <f t="shared" si="42"/>
        <v>0</v>
      </c>
      <c r="AY76" s="11">
        <f t="shared" si="15"/>
        <v>182156.55557200001</v>
      </c>
      <c r="BA76" s="1">
        <v>221038.97500000001</v>
      </c>
      <c r="BB76">
        <v>570430</v>
      </c>
      <c r="BC76" s="11">
        <f t="shared" ref="BC76:BC125" si="46">BB76*$AW$4</f>
        <v>281843.75870000001</v>
      </c>
      <c r="BD76" s="33">
        <f t="shared" si="32"/>
        <v>0</v>
      </c>
      <c r="BE76" s="11">
        <f t="shared" si="39"/>
        <v>563687.51740000001</v>
      </c>
      <c r="BF76" s="11">
        <f t="shared" si="35"/>
        <v>5436054.2698599994</v>
      </c>
      <c r="BG76">
        <f t="shared" si="36"/>
        <v>3502257.6635755226</v>
      </c>
      <c r="BH76" s="11">
        <f t="shared" si="37"/>
        <v>64.426466140959263</v>
      </c>
      <c r="BW76" s="11">
        <f t="shared" si="43"/>
        <v>49043.373399999997</v>
      </c>
      <c r="BZ76" s="28">
        <v>41</v>
      </c>
      <c r="CA76" s="11">
        <f t="shared" si="11"/>
        <v>1.1961798390243903</v>
      </c>
      <c r="CB76">
        <f>BZ76*$CB$4*0.9</f>
        <v>4612500</v>
      </c>
      <c r="CC76" s="34">
        <f t="shared" si="25"/>
        <v>4563456.6266000001</v>
      </c>
      <c r="CD76">
        <v>9842</v>
      </c>
      <c r="CE76" s="36">
        <f t="shared" si="26"/>
        <v>200.67950709116596</v>
      </c>
      <c r="CF76" s="10">
        <f t="shared" si="19"/>
        <v>485.54514060187472</v>
      </c>
    </row>
    <row r="77" spans="1:86" x14ac:dyDescent="0.25">
      <c r="A77" s="25">
        <f t="shared" si="44"/>
        <v>1652</v>
      </c>
      <c r="B77" s="25"/>
      <c r="C77" s="25"/>
      <c r="D77" s="25"/>
      <c r="E77" s="25"/>
      <c r="F77" s="25">
        <f t="shared" si="40"/>
        <v>0</v>
      </c>
      <c r="G77" s="25"/>
      <c r="H77" s="26"/>
      <c r="I77" s="25"/>
      <c r="J77" s="25"/>
      <c r="K77" s="25"/>
      <c r="L77" s="25"/>
      <c r="M77" s="25">
        <f t="shared" si="41"/>
        <v>0</v>
      </c>
      <c r="U77" s="11">
        <f t="shared" si="28"/>
        <v>0</v>
      </c>
      <c r="V77" s="11">
        <f t="shared" si="21"/>
        <v>53590.780123999997</v>
      </c>
      <c r="AO77" s="11">
        <f t="shared" si="42"/>
        <v>0</v>
      </c>
      <c r="AV77">
        <v>945097</v>
      </c>
      <c r="AW77" s="11">
        <f>AV77*$AW$4</f>
        <v>466962.97672999999</v>
      </c>
      <c r="AY77" s="11">
        <f t="shared" si="15"/>
        <v>315392.66733600001</v>
      </c>
      <c r="BA77" s="1">
        <v>277300.375</v>
      </c>
      <c r="BC77" s="11"/>
      <c r="BD77" s="33">
        <f t="shared" si="32"/>
        <v>233481.488365</v>
      </c>
      <c r="BE77" s="11">
        <f t="shared" si="39"/>
        <v>0</v>
      </c>
      <c r="BF77" s="11">
        <f t="shared" si="35"/>
        <v>5903017.2465899996</v>
      </c>
      <c r="BG77">
        <f t="shared" si="36"/>
        <v>3502257.6635755226</v>
      </c>
      <c r="BH77" s="11">
        <f t="shared" si="37"/>
        <v>59.329958176874285</v>
      </c>
      <c r="BW77" s="11">
        <f t="shared" si="43"/>
        <v>466962.97672999999</v>
      </c>
      <c r="BZ77" s="28">
        <v>42</v>
      </c>
      <c r="CA77" s="11">
        <f t="shared" si="11"/>
        <v>11.118166112619049</v>
      </c>
      <c r="CB77">
        <f t="shared" ref="CB77:CB125" si="47">BZ77*$CB$4*0.9</f>
        <v>4725000</v>
      </c>
      <c r="CC77" s="33"/>
      <c r="CD77">
        <v>8245</v>
      </c>
      <c r="CF77" s="10">
        <f t="shared" si="19"/>
        <v>406.75875678342379</v>
      </c>
    </row>
    <row r="78" spans="1:86" x14ac:dyDescent="0.25">
      <c r="A78" s="25">
        <f t="shared" si="44"/>
        <v>1653</v>
      </c>
      <c r="B78" s="25"/>
      <c r="C78" s="25"/>
      <c r="D78" s="25"/>
      <c r="E78" s="25"/>
      <c r="F78" s="25">
        <f t="shared" si="40"/>
        <v>0</v>
      </c>
      <c r="G78" s="25"/>
      <c r="H78" s="26"/>
      <c r="I78" s="25"/>
      <c r="J78" s="25"/>
      <c r="K78" s="25"/>
      <c r="L78" s="25"/>
      <c r="M78" s="25">
        <f t="shared" si="41"/>
        <v>0</v>
      </c>
      <c r="U78" s="11">
        <f t="shared" si="28"/>
        <v>0</v>
      </c>
      <c r="V78" s="11">
        <f t="shared" si="21"/>
        <v>9808.6746800000001</v>
      </c>
      <c r="AO78" s="11">
        <f t="shared" si="42"/>
        <v>0</v>
      </c>
      <c r="AY78" s="11">
        <f t="shared" si="15"/>
        <v>633058.93921600003</v>
      </c>
      <c r="BA78" s="1">
        <v>601709.9</v>
      </c>
      <c r="BB78">
        <v>1322862</v>
      </c>
      <c r="BC78" s="11">
        <f t="shared" si="46"/>
        <v>653612.88558</v>
      </c>
      <c r="BD78" s="33">
        <f t="shared" si="32"/>
        <v>0</v>
      </c>
      <c r="BE78" s="11">
        <f t="shared" si="39"/>
        <v>1307225.77116</v>
      </c>
      <c r="BF78" s="11">
        <f t="shared" si="35"/>
        <v>5903017.2465899996</v>
      </c>
      <c r="BG78">
        <f t="shared" si="36"/>
        <v>4155870.5491555226</v>
      </c>
      <c r="BH78" s="11">
        <f t="shared" si="37"/>
        <v>70.402480215626127</v>
      </c>
      <c r="BW78" s="11">
        <f t="shared" si="43"/>
        <v>0</v>
      </c>
      <c r="BZ78" s="28">
        <v>43</v>
      </c>
      <c r="CA78" s="11">
        <f t="shared" si="11"/>
        <v>0</v>
      </c>
      <c r="CB78">
        <f t="shared" si="47"/>
        <v>4837500</v>
      </c>
      <c r="CC78" s="33"/>
      <c r="CD78">
        <v>6378</v>
      </c>
      <c r="CF78" s="10">
        <f t="shared" si="19"/>
        <v>314.6521953626048</v>
      </c>
    </row>
    <row r="79" spans="1:86" x14ac:dyDescent="0.25">
      <c r="A79" s="25">
        <f t="shared" si="44"/>
        <v>1654</v>
      </c>
      <c r="B79" s="25"/>
      <c r="C79" s="25"/>
      <c r="D79" s="25"/>
      <c r="E79" s="25"/>
      <c r="F79" s="25">
        <f t="shared" si="40"/>
        <v>0</v>
      </c>
      <c r="G79" s="25"/>
      <c r="H79" s="26"/>
      <c r="I79" s="25"/>
      <c r="J79" s="25"/>
      <c r="K79" s="25"/>
      <c r="L79" s="25"/>
      <c r="M79" s="25">
        <f t="shared" si="41"/>
        <v>0</v>
      </c>
      <c r="U79" s="11">
        <f t="shared" si="28"/>
        <v>0</v>
      </c>
      <c r="V79" s="11"/>
      <c r="AO79" s="11">
        <f t="shared" si="42"/>
        <v>0</v>
      </c>
      <c r="AV79">
        <v>2246555</v>
      </c>
      <c r="AW79" s="11">
        <f>AV79*$AW$4</f>
        <v>1110000.35995</v>
      </c>
      <c r="AY79" s="11">
        <f t="shared" si="15"/>
        <v>633058.93921600003</v>
      </c>
      <c r="BA79" s="1">
        <v>559710.85</v>
      </c>
      <c r="BB79">
        <v>1192212</v>
      </c>
      <c r="BC79" s="11">
        <f t="shared" si="46"/>
        <v>589060.02707999991</v>
      </c>
      <c r="BD79" s="33">
        <f t="shared" si="32"/>
        <v>555000.17997499998</v>
      </c>
      <c r="BE79" s="11">
        <f t="shared" si="39"/>
        <v>1178120.0541599998</v>
      </c>
      <c r="BF79" s="11">
        <f t="shared" si="35"/>
        <v>7013017.6065400001</v>
      </c>
      <c r="BG79">
        <f t="shared" si="36"/>
        <v>4744930.5762355225</v>
      </c>
      <c r="BH79" s="11">
        <f t="shared" si="37"/>
        <v>67.658900097593232</v>
      </c>
      <c r="BW79" s="11">
        <f t="shared" si="43"/>
        <v>1110000.35995</v>
      </c>
      <c r="BZ79" s="28">
        <v>44</v>
      </c>
      <c r="CA79" s="11">
        <f t="shared" si="11"/>
        <v>25.227280907954544</v>
      </c>
      <c r="CB79">
        <f t="shared" si="47"/>
        <v>4950000</v>
      </c>
      <c r="CD79">
        <v>8447</v>
      </c>
      <c r="CF79" s="10">
        <f t="shared" si="19"/>
        <v>416.72422298963988</v>
      </c>
    </row>
    <row r="80" spans="1:86" x14ac:dyDescent="0.25">
      <c r="A80" s="25">
        <f t="shared" si="44"/>
        <v>1655</v>
      </c>
      <c r="B80" s="25"/>
      <c r="C80" s="25"/>
      <c r="D80" s="25"/>
      <c r="E80" s="25"/>
      <c r="F80" s="25">
        <f t="shared" si="40"/>
        <v>0</v>
      </c>
      <c r="G80" s="25"/>
      <c r="H80" s="26"/>
      <c r="I80" s="25"/>
      <c r="J80" s="25"/>
      <c r="K80" s="25"/>
      <c r="L80" s="25"/>
      <c r="M80" s="25">
        <f t="shared" si="41"/>
        <v>0</v>
      </c>
      <c r="U80" s="11">
        <f t="shared" si="28"/>
        <v>0</v>
      </c>
      <c r="V80" s="11"/>
      <c r="AO80" s="11">
        <f t="shared" si="42"/>
        <v>0</v>
      </c>
      <c r="AV80">
        <v>3214660</v>
      </c>
      <c r="AW80" s="11">
        <f>AV80*$AW$4</f>
        <v>1588331.3594</v>
      </c>
      <c r="AY80" s="11">
        <f t="shared" si="15"/>
        <v>675454.52930199995</v>
      </c>
      <c r="BA80" s="1">
        <v>206054.375</v>
      </c>
      <c r="BB80">
        <v>594546</v>
      </c>
      <c r="BC80" s="11">
        <f t="shared" si="46"/>
        <v>293759.23313999997</v>
      </c>
      <c r="BD80" s="33">
        <f t="shared" si="32"/>
        <v>794165.67969999998</v>
      </c>
      <c r="BE80" s="11">
        <f t="shared" si="39"/>
        <v>587518.46627999994</v>
      </c>
      <c r="BF80" s="11">
        <f t="shared" si="35"/>
        <v>8601348.9659400005</v>
      </c>
      <c r="BG80">
        <f t="shared" si="36"/>
        <v>5038689.8093755227</v>
      </c>
      <c r="BH80" s="11">
        <f t="shared" si="37"/>
        <v>58.580227698329033</v>
      </c>
      <c r="BW80" s="11">
        <f t="shared" si="43"/>
        <v>1588331.3594</v>
      </c>
      <c r="BZ80" s="28">
        <v>45</v>
      </c>
      <c r="CA80" s="11">
        <f t="shared" si="11"/>
        <v>35.296252431111114</v>
      </c>
      <c r="CB80">
        <f t="shared" si="47"/>
        <v>5062500</v>
      </c>
      <c r="CD80">
        <v>9196</v>
      </c>
      <c r="CF80" s="10">
        <f t="shared" si="19"/>
        <v>453.67538233843118</v>
      </c>
    </row>
    <row r="81" spans="1:84" x14ac:dyDescent="0.25">
      <c r="A81" s="25">
        <f t="shared" si="44"/>
        <v>1656</v>
      </c>
      <c r="B81" s="25"/>
      <c r="C81" s="25"/>
      <c r="D81" s="25"/>
      <c r="E81" s="25"/>
      <c r="F81" s="25">
        <f t="shared" si="40"/>
        <v>0</v>
      </c>
      <c r="G81" s="25"/>
      <c r="H81" s="26"/>
      <c r="I81" s="25"/>
      <c r="J81" s="25"/>
      <c r="K81" s="25"/>
      <c r="L81" s="25"/>
      <c r="M81" s="25">
        <f t="shared" si="41"/>
        <v>0</v>
      </c>
      <c r="U81" s="11">
        <f t="shared" si="28"/>
        <v>0</v>
      </c>
      <c r="V81" s="11"/>
      <c r="AO81" s="11">
        <f t="shared" si="42"/>
        <v>0</v>
      </c>
      <c r="AY81" s="11">
        <f t="shared" si="15"/>
        <v>966511.18895999994</v>
      </c>
      <c r="BA81" s="1">
        <v>327014.7</v>
      </c>
      <c r="BB81">
        <v>1255361</v>
      </c>
      <c r="BC81" s="11">
        <f t="shared" si="46"/>
        <v>620261.31649</v>
      </c>
      <c r="BD81" s="33">
        <f t="shared" si="32"/>
        <v>0</v>
      </c>
      <c r="BE81" s="11">
        <f t="shared" si="39"/>
        <v>1240522.63298</v>
      </c>
      <c r="BF81" s="11">
        <f t="shared" si="35"/>
        <v>8601348.9659400005</v>
      </c>
      <c r="BG81">
        <f t="shared" si="36"/>
        <v>5658951.1258655228</v>
      </c>
      <c r="BH81" s="11">
        <f t="shared" si="37"/>
        <v>65.791437462589712</v>
      </c>
      <c r="BW81" s="11">
        <f t="shared" si="43"/>
        <v>0</v>
      </c>
      <c r="BZ81" s="28">
        <v>46</v>
      </c>
      <c r="CA81" s="11">
        <f t="shared" si="11"/>
        <v>0</v>
      </c>
      <c r="CB81">
        <f t="shared" si="47"/>
        <v>5175000</v>
      </c>
      <c r="CD81">
        <v>10171</v>
      </c>
      <c r="CF81" s="10">
        <f t="shared" si="19"/>
        <v>501.77602368031575</v>
      </c>
    </row>
    <row r="82" spans="1:84" x14ac:dyDescent="0.25">
      <c r="A82" s="25">
        <f t="shared" si="44"/>
        <v>1657</v>
      </c>
      <c r="B82" s="25"/>
      <c r="C82" s="25"/>
      <c r="D82" s="25"/>
      <c r="E82" s="25"/>
      <c r="F82" s="25">
        <f t="shared" si="40"/>
        <v>0</v>
      </c>
      <c r="G82" s="25"/>
      <c r="H82" s="26"/>
      <c r="I82" s="25"/>
      <c r="J82" s="25"/>
      <c r="K82" s="25"/>
      <c r="L82" s="25"/>
      <c r="M82" s="25">
        <f t="shared" si="41"/>
        <v>0</v>
      </c>
      <c r="U82" s="11">
        <f t="shared" si="28"/>
        <v>0</v>
      </c>
      <c r="V82" s="11"/>
      <c r="AO82" s="11">
        <f t="shared" si="42"/>
        <v>0</v>
      </c>
      <c r="AV82">
        <v>1374124</v>
      </c>
      <c r="AW82" s="11">
        <f t="shared" ref="AW82:AW101" si="48">AV82*$AW$4</f>
        <v>678940.92715999996</v>
      </c>
      <c r="AY82" s="11">
        <f t="shared" si="15"/>
        <v>818997.65491999988</v>
      </c>
      <c r="BA82" s="1">
        <v>199006.75</v>
      </c>
      <c r="BB82">
        <v>803314</v>
      </c>
      <c r="BC82" s="11">
        <f t="shared" si="46"/>
        <v>396909.41425999999</v>
      </c>
      <c r="BD82" s="33">
        <f t="shared" si="32"/>
        <v>339470.46357999998</v>
      </c>
      <c r="BE82" s="11">
        <f t="shared" si="39"/>
        <v>793818.82851999998</v>
      </c>
      <c r="BF82" s="11">
        <f t="shared" si="35"/>
        <v>9280289.8931000009</v>
      </c>
      <c r="BG82">
        <f t="shared" si="36"/>
        <v>6055860.5401255228</v>
      </c>
      <c r="BH82" s="11">
        <f t="shared" si="37"/>
        <v>65.255079419750913</v>
      </c>
      <c r="BW82" s="11">
        <f t="shared" si="43"/>
        <v>678940.92715999996</v>
      </c>
      <c r="BZ82" s="28">
        <v>47</v>
      </c>
      <c r="CA82" s="11">
        <f t="shared" si="11"/>
        <v>14.445551641702126</v>
      </c>
      <c r="CB82">
        <f t="shared" si="47"/>
        <v>5287500</v>
      </c>
      <c r="CD82">
        <v>8601</v>
      </c>
      <c r="CF82" s="10">
        <f t="shared" si="19"/>
        <v>424.32165762210161</v>
      </c>
    </row>
    <row r="83" spans="1:84" x14ac:dyDescent="0.25">
      <c r="A83" s="25">
        <f t="shared" si="44"/>
        <v>1658</v>
      </c>
      <c r="B83" s="25"/>
      <c r="C83" s="25"/>
      <c r="D83" s="25"/>
      <c r="E83" s="25"/>
      <c r="F83" s="25">
        <f t="shared" si="40"/>
        <v>0</v>
      </c>
      <c r="G83" s="25"/>
      <c r="H83" s="26"/>
      <c r="I83" s="25"/>
      <c r="J83" s="25"/>
      <c r="K83" s="25"/>
      <c r="L83" s="25"/>
      <c r="M83" s="25">
        <f t="shared" si="41"/>
        <v>0</v>
      </c>
      <c r="U83" s="11">
        <f t="shared" si="28"/>
        <v>0</v>
      </c>
      <c r="V83" s="11"/>
      <c r="AO83" s="11">
        <f t="shared" si="42"/>
        <v>0</v>
      </c>
      <c r="AV83">
        <v>2945381</v>
      </c>
      <c r="AW83" s="11">
        <f t="shared" si="48"/>
        <v>1455283.2982899998</v>
      </c>
      <c r="AY83" s="11">
        <f t="shared" si="15"/>
        <v>578805.0903119999</v>
      </c>
      <c r="BA83" s="1">
        <v>59433.05</v>
      </c>
      <c r="BB83">
        <v>263380</v>
      </c>
      <c r="BC83" s="11">
        <f t="shared" si="46"/>
        <v>130133.42419999999</v>
      </c>
      <c r="BD83" s="33">
        <f t="shared" si="32"/>
        <v>727641.64914499992</v>
      </c>
      <c r="BE83" s="11">
        <f t="shared" si="39"/>
        <v>260266.84839999999</v>
      </c>
      <c r="BF83" s="11">
        <f t="shared" si="35"/>
        <v>10735573.19139</v>
      </c>
      <c r="BG83">
        <f t="shared" si="36"/>
        <v>6185993.964325523</v>
      </c>
      <c r="BH83" s="11">
        <f t="shared" si="37"/>
        <v>57.621459553614997</v>
      </c>
      <c r="BW83" s="11">
        <f t="shared" si="43"/>
        <v>1455283.2982899998</v>
      </c>
      <c r="BZ83" s="28">
        <v>48</v>
      </c>
      <c r="CA83" s="11">
        <f t="shared" ref="CA83:CA125" si="49">BW83/BZ83/1000</f>
        <v>30.318402047708329</v>
      </c>
      <c r="CB83">
        <f t="shared" si="47"/>
        <v>5400000</v>
      </c>
      <c r="CD83">
        <v>7534</v>
      </c>
      <c r="CF83" s="10">
        <f t="shared" si="19"/>
        <v>371.68228909718795</v>
      </c>
    </row>
    <row r="84" spans="1:84" x14ac:dyDescent="0.25">
      <c r="A84" s="25">
        <f t="shared" si="44"/>
        <v>1659</v>
      </c>
      <c r="B84" s="25"/>
      <c r="C84" s="25"/>
      <c r="D84" s="25"/>
      <c r="E84" s="25"/>
      <c r="F84" s="25">
        <f t="shared" si="40"/>
        <v>0</v>
      </c>
      <c r="G84" s="25"/>
      <c r="H84" s="26"/>
      <c r="I84" s="25"/>
      <c r="J84" s="25"/>
      <c r="K84" s="25"/>
      <c r="L84" s="25"/>
      <c r="M84" s="25">
        <f t="shared" si="41"/>
        <v>0</v>
      </c>
      <c r="U84" s="11">
        <f t="shared" si="28"/>
        <v>0</v>
      </c>
      <c r="V84" s="11"/>
      <c r="AO84" s="11">
        <f t="shared" si="42"/>
        <v>0</v>
      </c>
      <c r="AV84">
        <v>753775</v>
      </c>
      <c r="AW84" s="11">
        <f t="shared" si="48"/>
        <v>372432.68974999996</v>
      </c>
      <c r="AY84" s="11">
        <f t="shared" si="15"/>
        <v>646278.61361999984</v>
      </c>
      <c r="BA84" s="1">
        <v>230101.42499999999</v>
      </c>
      <c r="BB84">
        <v>946117</v>
      </c>
      <c r="BC84" s="11">
        <f t="shared" si="46"/>
        <v>467466.94852999999</v>
      </c>
      <c r="BD84" s="33">
        <f t="shared" si="32"/>
        <v>186216.34487499998</v>
      </c>
      <c r="BE84" s="11">
        <f t="shared" si="39"/>
        <v>934933.89705999999</v>
      </c>
      <c r="BF84" s="11">
        <f t="shared" si="35"/>
        <v>11108005.881140001</v>
      </c>
      <c r="BG84">
        <f t="shared" si="36"/>
        <v>6653460.9128555227</v>
      </c>
      <c r="BH84" s="11">
        <f t="shared" si="37"/>
        <v>59.897887920209548</v>
      </c>
      <c r="BW84" s="11">
        <f t="shared" si="43"/>
        <v>372432.68974999996</v>
      </c>
      <c r="BZ84" s="28">
        <v>49</v>
      </c>
      <c r="CA84" s="11">
        <f t="shared" si="49"/>
        <v>7.6006671377551012</v>
      </c>
      <c r="CB84">
        <f t="shared" si="47"/>
        <v>5512500</v>
      </c>
      <c r="CD84">
        <v>7604</v>
      </c>
      <c r="CF84" s="10">
        <f t="shared" si="19"/>
        <v>375.13566847557968</v>
      </c>
    </row>
    <row r="85" spans="1:84" x14ac:dyDescent="0.25">
      <c r="A85" s="25">
        <f t="shared" si="44"/>
        <v>1660</v>
      </c>
      <c r="B85" s="25"/>
      <c r="C85" s="25"/>
      <c r="D85" s="25"/>
      <c r="E85" s="25"/>
      <c r="F85" s="25">
        <f t="shared" si="40"/>
        <v>0</v>
      </c>
      <c r="G85" s="25"/>
      <c r="H85" s="26"/>
      <c r="I85" s="25"/>
      <c r="J85" s="25"/>
      <c r="K85" s="25"/>
      <c r="L85" s="25"/>
      <c r="M85" s="25">
        <f t="shared" si="41"/>
        <v>0</v>
      </c>
      <c r="U85" s="11">
        <f t="shared" si="28"/>
        <v>0</v>
      </c>
      <c r="V85" s="11"/>
      <c r="AO85" s="11">
        <f t="shared" si="42"/>
        <v>0</v>
      </c>
      <c r="AV85">
        <v>784004</v>
      </c>
      <c r="AW85" s="11">
        <f t="shared" si="48"/>
        <v>387368.53635999997</v>
      </c>
      <c r="AY85" s="11">
        <f t="shared" si="15"/>
        <v>556520.93958599982</v>
      </c>
      <c r="BA85" s="1">
        <v>31907.85</v>
      </c>
      <c r="BB85">
        <v>113724</v>
      </c>
      <c r="BC85" s="11">
        <f t="shared" si="46"/>
        <v>56189.891159999999</v>
      </c>
      <c r="BD85" s="33">
        <f t="shared" si="32"/>
        <v>193684.26817999998</v>
      </c>
      <c r="BE85" s="11">
        <f t="shared" si="39"/>
        <v>112379.78232</v>
      </c>
      <c r="BF85" s="11">
        <f t="shared" si="35"/>
        <v>11495374.4175</v>
      </c>
      <c r="BG85">
        <f t="shared" si="36"/>
        <v>6709650.8040155228</v>
      </c>
      <c r="BH85" s="11">
        <f t="shared" si="37"/>
        <v>58.368266750851326</v>
      </c>
      <c r="BW85" s="11">
        <f t="shared" si="43"/>
        <v>387368.53635999997</v>
      </c>
      <c r="BZ85" s="28">
        <v>50</v>
      </c>
      <c r="CA85" s="11">
        <f t="shared" si="49"/>
        <v>7.747370727199999</v>
      </c>
      <c r="CB85">
        <f t="shared" si="47"/>
        <v>5625000</v>
      </c>
      <c r="CD85">
        <v>9379</v>
      </c>
      <c r="CF85" s="10">
        <f t="shared" si="19"/>
        <v>462.70350271336957</v>
      </c>
    </row>
    <row r="86" spans="1:84" x14ac:dyDescent="0.25">
      <c r="A86" s="25">
        <f t="shared" si="44"/>
        <v>1661</v>
      </c>
      <c r="B86" s="25"/>
      <c r="C86" s="25"/>
      <c r="D86" s="25"/>
      <c r="E86" s="25"/>
      <c r="F86" s="25">
        <f t="shared" si="40"/>
        <v>0</v>
      </c>
      <c r="G86" s="25"/>
      <c r="H86" s="26"/>
      <c r="I86" s="25"/>
      <c r="J86" s="25"/>
      <c r="K86" s="25"/>
      <c r="L86" s="25"/>
      <c r="M86" s="25">
        <f t="shared" si="41"/>
        <v>0</v>
      </c>
      <c r="U86" s="11">
        <f t="shared" si="28"/>
        <v>0</v>
      </c>
      <c r="V86" s="11"/>
      <c r="AO86" s="11">
        <f t="shared" si="42"/>
        <v>0</v>
      </c>
      <c r="AV86">
        <v>682806</v>
      </c>
      <c r="AW86" s="11">
        <f t="shared" si="48"/>
        <v>337367.61653999996</v>
      </c>
      <c r="AY86" s="11">
        <f t="shared" si="15"/>
        <v>280388.07074200001</v>
      </c>
      <c r="BA86" s="1">
        <v>97288.15</v>
      </c>
      <c r="BB86">
        <v>432220</v>
      </c>
      <c r="BC86" s="11">
        <f t="shared" si="46"/>
        <v>213555.57979999998</v>
      </c>
      <c r="BD86" s="11"/>
      <c r="BE86" s="11">
        <f t="shared" si="39"/>
        <v>427111.15959999996</v>
      </c>
      <c r="BF86" s="11">
        <f t="shared" si="35"/>
        <v>11832742.03404</v>
      </c>
      <c r="BG86">
        <f t="shared" si="36"/>
        <v>6923206.3838155232</v>
      </c>
      <c r="BH86" s="11">
        <f t="shared" si="37"/>
        <v>58.508893068902331</v>
      </c>
      <c r="BW86" s="11">
        <f t="shared" si="43"/>
        <v>337367.61653999996</v>
      </c>
      <c r="BZ86">
        <v>50</v>
      </c>
      <c r="CA86" s="11">
        <f t="shared" si="49"/>
        <v>6.7473523307999992</v>
      </c>
      <c r="CB86">
        <f t="shared" si="47"/>
        <v>5625000</v>
      </c>
      <c r="CD86">
        <v>8172</v>
      </c>
      <c r="CF86" s="10">
        <f t="shared" si="19"/>
        <v>403.15737543167245</v>
      </c>
    </row>
    <row r="87" spans="1:84" x14ac:dyDescent="0.25">
      <c r="A87" s="25">
        <f t="shared" si="44"/>
        <v>1662</v>
      </c>
      <c r="B87" s="25"/>
      <c r="C87" s="25"/>
      <c r="D87" s="25"/>
      <c r="E87" s="25"/>
      <c r="F87" s="25">
        <f t="shared" si="40"/>
        <v>0</v>
      </c>
      <c r="G87" s="25"/>
      <c r="H87" s="26"/>
      <c r="I87" s="25"/>
      <c r="J87" s="25"/>
      <c r="K87" s="25"/>
      <c r="L87" s="25"/>
      <c r="M87" s="25">
        <f t="shared" si="41"/>
        <v>0</v>
      </c>
      <c r="U87" s="11">
        <f t="shared" si="28"/>
        <v>0</v>
      </c>
      <c r="V87" s="11"/>
      <c r="AO87" s="11">
        <f t="shared" si="42"/>
        <v>0</v>
      </c>
      <c r="AV87">
        <v>465811</v>
      </c>
      <c r="AW87" s="11">
        <f t="shared" si="48"/>
        <v>230152.55698999998</v>
      </c>
      <c r="AY87" s="11">
        <f t="shared" si="15"/>
        <v>227138.41035399996</v>
      </c>
      <c r="BA87" s="1">
        <v>68420.800000000003</v>
      </c>
      <c r="BB87">
        <v>324920</v>
      </c>
      <c r="BC87" s="11">
        <f t="shared" si="46"/>
        <v>160539.72279999999</v>
      </c>
      <c r="BD87" s="11"/>
      <c r="BE87" s="11">
        <f t="shared" si="39"/>
        <v>321079.44559999998</v>
      </c>
      <c r="BF87" s="11">
        <f t="shared" si="35"/>
        <v>12062894.59103</v>
      </c>
      <c r="BG87">
        <f t="shared" si="36"/>
        <v>7083746.1066155229</v>
      </c>
      <c r="BH87" s="11">
        <f t="shared" si="37"/>
        <v>58.723435350939859</v>
      </c>
      <c r="BW87" s="11">
        <f t="shared" si="43"/>
        <v>230152.55698999998</v>
      </c>
      <c r="BZ87" s="28">
        <f>BZ86</f>
        <v>50</v>
      </c>
      <c r="CA87" s="11">
        <f t="shared" si="49"/>
        <v>4.6030511397999998</v>
      </c>
      <c r="CB87">
        <f t="shared" si="47"/>
        <v>5625000</v>
      </c>
      <c r="CD87">
        <v>9947</v>
      </c>
      <c r="CF87" s="10">
        <f t="shared" si="19"/>
        <v>490.72520966946229</v>
      </c>
    </row>
    <row r="88" spans="1:84" x14ac:dyDescent="0.25">
      <c r="A88" s="25">
        <f t="shared" si="44"/>
        <v>1663</v>
      </c>
      <c r="B88" s="25"/>
      <c r="C88" s="25"/>
      <c r="D88" s="25"/>
      <c r="E88" s="25"/>
      <c r="F88" s="25">
        <f t="shared" si="40"/>
        <v>0</v>
      </c>
      <c r="G88" s="25"/>
      <c r="H88" s="26"/>
      <c r="I88" s="25"/>
      <c r="J88" s="25"/>
      <c r="K88" s="25"/>
      <c r="L88" s="25"/>
      <c r="M88" s="25">
        <f t="shared" si="41"/>
        <v>0</v>
      </c>
      <c r="U88" s="11">
        <f t="shared" si="28"/>
        <v>0</v>
      </c>
      <c r="V88" s="11"/>
      <c r="AO88" s="11">
        <f t="shared" si="42"/>
        <v>0</v>
      </c>
      <c r="AV88">
        <v>151023</v>
      </c>
      <c r="AW88" s="11">
        <f t="shared" si="48"/>
        <v>74618.954069999992</v>
      </c>
      <c r="AY88" s="11">
        <f t="shared" si="15"/>
        <v>149664.70308199996</v>
      </c>
      <c r="BA88" s="1">
        <v>45712.9</v>
      </c>
      <c r="BB88">
        <v>171686</v>
      </c>
      <c r="BC88" s="11">
        <f t="shared" si="46"/>
        <v>84828.335739999995</v>
      </c>
      <c r="BD88" s="11"/>
      <c r="BE88" s="11">
        <f t="shared" si="39"/>
        <v>169656.67147999999</v>
      </c>
      <c r="BF88" s="11">
        <f t="shared" si="35"/>
        <v>12137513.5451</v>
      </c>
      <c r="BG88">
        <f t="shared" si="36"/>
        <v>7168574.4423555229</v>
      </c>
      <c r="BH88" s="11">
        <f t="shared" si="37"/>
        <v>59.061309515485796</v>
      </c>
      <c r="BW88" s="11">
        <f t="shared" si="43"/>
        <v>74618.954069999992</v>
      </c>
      <c r="BZ88" s="28">
        <f t="shared" ref="BZ88:BZ125" si="50">BZ87</f>
        <v>50</v>
      </c>
      <c r="CA88" s="11">
        <f t="shared" si="49"/>
        <v>1.4923790814</v>
      </c>
      <c r="CB88">
        <f t="shared" si="47"/>
        <v>5625000</v>
      </c>
      <c r="CD88">
        <v>7935</v>
      </c>
      <c r="CF88" s="10">
        <f t="shared" si="19"/>
        <v>391.46521953626052</v>
      </c>
    </row>
    <row r="89" spans="1:84" x14ac:dyDescent="0.25">
      <c r="A89" s="25">
        <f t="shared" si="44"/>
        <v>1664</v>
      </c>
      <c r="B89" s="25"/>
      <c r="C89" s="25"/>
      <c r="D89" s="25"/>
      <c r="E89" s="25"/>
      <c r="F89" s="25">
        <f t="shared" si="40"/>
        <v>0</v>
      </c>
      <c r="G89" s="25"/>
      <c r="H89" s="26"/>
      <c r="I89" s="25"/>
      <c r="J89" s="25"/>
      <c r="K89" s="25"/>
      <c r="L89" s="25"/>
      <c r="M89" s="25">
        <f t="shared" si="41"/>
        <v>0</v>
      </c>
      <c r="U89" s="11">
        <f t="shared" si="28"/>
        <v>0</v>
      </c>
      <c r="V89" s="11"/>
      <c r="AO89" s="11">
        <f t="shared" si="42"/>
        <v>0</v>
      </c>
      <c r="AV89">
        <v>214909</v>
      </c>
      <c r="AW89" s="11">
        <f t="shared" si="48"/>
        <v>106184.38781</v>
      </c>
      <c r="AY89" s="11">
        <f t="shared" si="15"/>
        <v>127544.98550799998</v>
      </c>
      <c r="BA89" s="1">
        <v>19369.05</v>
      </c>
      <c r="BB89">
        <v>85919</v>
      </c>
      <c r="BC89" s="11">
        <f t="shared" si="46"/>
        <v>42451.718710000001</v>
      </c>
      <c r="BD89" s="11"/>
      <c r="BE89" s="11">
        <f t="shared" si="39"/>
        <v>84903.437420000002</v>
      </c>
      <c r="BF89" s="11">
        <f t="shared" si="35"/>
        <v>12243697.932909999</v>
      </c>
      <c r="BG89">
        <f t="shared" si="36"/>
        <v>7211026.1610655226</v>
      </c>
      <c r="BH89" s="11">
        <f t="shared" si="37"/>
        <v>58.895818898658945</v>
      </c>
      <c r="BW89" s="11">
        <f t="shared" si="43"/>
        <v>106184.38781</v>
      </c>
      <c r="BZ89" s="28">
        <f t="shared" si="50"/>
        <v>50</v>
      </c>
      <c r="CA89" s="11">
        <f t="shared" si="49"/>
        <v>2.1236877561999998</v>
      </c>
      <c r="CB89">
        <f t="shared" si="47"/>
        <v>5625000</v>
      </c>
      <c r="CD89">
        <v>11003</v>
      </c>
      <c r="CF89" s="10">
        <f t="shared" si="19"/>
        <v>542.82190429205718</v>
      </c>
    </row>
    <row r="90" spans="1:84" x14ac:dyDescent="0.25">
      <c r="A90" s="25">
        <f t="shared" si="44"/>
        <v>1665</v>
      </c>
      <c r="B90" s="25"/>
      <c r="C90" s="25"/>
      <c r="D90" s="25"/>
      <c r="E90" s="25"/>
      <c r="F90" s="25">
        <f t="shared" si="40"/>
        <v>0</v>
      </c>
      <c r="G90" s="25"/>
      <c r="H90" s="26"/>
      <c r="I90" s="25"/>
      <c r="J90" s="25"/>
      <c r="K90" s="25"/>
      <c r="L90" s="25"/>
      <c r="M90" s="25">
        <f t="shared" si="41"/>
        <v>0</v>
      </c>
      <c r="U90" s="11">
        <f t="shared" si="28"/>
        <v>0</v>
      </c>
      <c r="V90" s="11"/>
      <c r="AO90" s="11">
        <f t="shared" si="42"/>
        <v>0</v>
      </c>
      <c r="AW90" s="11"/>
      <c r="AY90" s="11">
        <f t="shared" si="15"/>
        <v>108519.06187799999</v>
      </c>
      <c r="BA90" s="1">
        <v>40081.699999999997</v>
      </c>
      <c r="BB90">
        <v>139082</v>
      </c>
      <c r="BC90" s="11">
        <f t="shared" si="46"/>
        <v>68719.025379999992</v>
      </c>
      <c r="BD90" s="11"/>
      <c r="BE90" s="11">
        <f t="shared" si="39"/>
        <v>137438.05075999998</v>
      </c>
      <c r="BF90" s="11">
        <f t="shared" si="35"/>
        <v>12243697.932909999</v>
      </c>
      <c r="BG90">
        <f t="shared" si="36"/>
        <v>7279745.1864455221</v>
      </c>
      <c r="BH90" s="11">
        <f t="shared" si="37"/>
        <v>59.457079277317007</v>
      </c>
      <c r="BW90" s="11">
        <f t="shared" si="43"/>
        <v>0</v>
      </c>
      <c r="BZ90" s="28">
        <f t="shared" si="50"/>
        <v>50</v>
      </c>
      <c r="CA90" s="11">
        <f t="shared" si="49"/>
        <v>0</v>
      </c>
      <c r="CB90">
        <f t="shared" si="47"/>
        <v>5625000</v>
      </c>
      <c r="CD90">
        <v>5100</v>
      </c>
      <c r="CF90" s="10">
        <f t="shared" si="19"/>
        <v>251.60335471139615</v>
      </c>
    </row>
    <row r="91" spans="1:84" x14ac:dyDescent="0.25">
      <c r="A91" s="25">
        <f t="shared" si="44"/>
        <v>1666</v>
      </c>
      <c r="B91" s="25"/>
      <c r="C91" s="25"/>
      <c r="D91" s="25"/>
      <c r="E91" s="25"/>
      <c r="F91" s="25">
        <f t="shared" si="40"/>
        <v>0</v>
      </c>
      <c r="G91" s="25"/>
      <c r="H91" s="26"/>
      <c r="I91" s="25"/>
      <c r="J91" s="25"/>
      <c r="K91" s="25"/>
      <c r="L91" s="25"/>
      <c r="M91" s="25">
        <f t="shared" si="41"/>
        <v>0</v>
      </c>
      <c r="U91" s="11">
        <f t="shared" si="28"/>
        <v>0</v>
      </c>
      <c r="V91" s="11"/>
      <c r="AO91" s="11">
        <f t="shared" si="42"/>
        <v>0</v>
      </c>
      <c r="AV91">
        <v>458963</v>
      </c>
      <c r="AW91" s="11">
        <f t="shared" si="48"/>
        <v>226769.02867</v>
      </c>
      <c r="AY91" s="11">
        <f t="shared" si="15"/>
        <v>143884.64062599998</v>
      </c>
      <c r="BA91" s="1">
        <v>12917.275</v>
      </c>
      <c r="BB91">
        <v>34452</v>
      </c>
      <c r="BC91" s="11">
        <f t="shared" si="46"/>
        <v>17022.38868</v>
      </c>
      <c r="BD91" s="11"/>
      <c r="BE91" s="11">
        <f t="shared" si="39"/>
        <v>34044.77736</v>
      </c>
      <c r="BF91" s="11">
        <f t="shared" si="35"/>
        <v>12470466.961579999</v>
      </c>
      <c r="BG91">
        <f t="shared" si="36"/>
        <v>7296767.575125522</v>
      </c>
      <c r="BH91" s="11">
        <f t="shared" si="37"/>
        <v>58.512384480917845</v>
      </c>
      <c r="BW91" s="11">
        <f t="shared" si="43"/>
        <v>226769.02867</v>
      </c>
      <c r="BZ91" s="28">
        <f t="shared" si="50"/>
        <v>50</v>
      </c>
      <c r="CA91" s="11">
        <f t="shared" si="49"/>
        <v>4.5353805733999994</v>
      </c>
      <c r="CB91">
        <f t="shared" si="47"/>
        <v>5625000</v>
      </c>
      <c r="CD91">
        <v>5493</v>
      </c>
      <c r="CF91" s="10">
        <f t="shared" si="19"/>
        <v>270.99161322150962</v>
      </c>
    </row>
    <row r="92" spans="1:84" x14ac:dyDescent="0.25">
      <c r="A92" s="25">
        <f t="shared" si="44"/>
        <v>1667</v>
      </c>
      <c r="B92" s="25"/>
      <c r="C92" s="25"/>
      <c r="D92" s="25"/>
      <c r="E92" s="25"/>
      <c r="F92" s="25">
        <f t="shared" si="40"/>
        <v>0</v>
      </c>
      <c r="G92" s="25"/>
      <c r="H92" s="26"/>
      <c r="I92" s="25"/>
      <c r="J92" s="25"/>
      <c r="K92" s="25"/>
      <c r="L92" s="25"/>
      <c r="M92" s="25">
        <f t="shared" si="41"/>
        <v>0</v>
      </c>
      <c r="U92" s="11">
        <f t="shared" si="28"/>
        <v>0</v>
      </c>
      <c r="V92" s="11"/>
      <c r="AO92" s="11">
        <f t="shared" si="42"/>
        <v>0</v>
      </c>
      <c r="AV92">
        <v>273276</v>
      </c>
      <c r="AW92" s="11">
        <f t="shared" si="48"/>
        <v>135022.93883999999</v>
      </c>
      <c r="AY92" s="11">
        <f t="shared" si="15"/>
        <v>227076.84674000001</v>
      </c>
      <c r="BA92" s="1">
        <v>42880.15</v>
      </c>
      <c r="BB92">
        <v>121248</v>
      </c>
      <c r="BC92" s="11">
        <f t="shared" si="46"/>
        <v>59907.424319999998</v>
      </c>
      <c r="BD92" s="11"/>
      <c r="BE92" s="11">
        <f t="shared" si="39"/>
        <v>119814.84864</v>
      </c>
      <c r="BF92" s="11">
        <f t="shared" si="35"/>
        <v>12605489.900419999</v>
      </c>
      <c r="BG92">
        <f t="shared" si="36"/>
        <v>7356674.9994455222</v>
      </c>
      <c r="BH92" s="11">
        <f t="shared" si="37"/>
        <v>58.360881310931099</v>
      </c>
      <c r="BW92" s="11">
        <f t="shared" si="43"/>
        <v>135022.93883999999</v>
      </c>
      <c r="BZ92" s="28">
        <f t="shared" si="50"/>
        <v>50</v>
      </c>
      <c r="CA92" s="11">
        <f t="shared" si="49"/>
        <v>2.7004587767999997</v>
      </c>
      <c r="CB92">
        <f t="shared" si="47"/>
        <v>5625000</v>
      </c>
      <c r="CD92">
        <v>4748</v>
      </c>
      <c r="CF92" s="10">
        <f t="shared" si="19"/>
        <v>234.23778983719779</v>
      </c>
    </row>
    <row r="93" spans="1:84" x14ac:dyDescent="0.25">
      <c r="A93" s="25">
        <f t="shared" si="44"/>
        <v>1668</v>
      </c>
      <c r="B93" s="25"/>
      <c r="C93" s="25"/>
      <c r="D93" s="25"/>
      <c r="E93" s="25"/>
      <c r="F93" s="25">
        <f t="shared" si="40"/>
        <v>0</v>
      </c>
      <c r="G93" s="25"/>
      <c r="H93" s="26"/>
      <c r="I93" s="25"/>
      <c r="J93" s="25"/>
      <c r="K93" s="25"/>
      <c r="L93" s="25"/>
      <c r="M93" s="25">
        <f t="shared" si="41"/>
        <v>0</v>
      </c>
      <c r="U93" s="11">
        <f t="shared" si="28"/>
        <v>0</v>
      </c>
      <c r="V93" s="11"/>
      <c r="AO93" s="11">
        <f t="shared" si="42"/>
        <v>0</v>
      </c>
      <c r="AV93">
        <v>508909</v>
      </c>
      <c r="AW93" s="11">
        <f t="shared" si="48"/>
        <v>251446.84780999998</v>
      </c>
      <c r="AY93" s="11">
        <f t="shared" si="15"/>
        <v>386799.73995199997</v>
      </c>
      <c r="BA93" s="1">
        <v>12837.15</v>
      </c>
      <c r="BB93">
        <v>42912</v>
      </c>
      <c r="BC93" s="11">
        <f t="shared" si="46"/>
        <v>21202.390079999997</v>
      </c>
      <c r="BD93" s="11"/>
      <c r="BE93" s="11">
        <f t="shared" si="39"/>
        <v>42404.780159999995</v>
      </c>
      <c r="BF93" s="11">
        <f t="shared" si="35"/>
        <v>12856936.748229999</v>
      </c>
      <c r="BG93">
        <f t="shared" si="36"/>
        <v>7377877.3895255225</v>
      </c>
      <c r="BH93" s="11">
        <f t="shared" si="37"/>
        <v>57.384410719304711</v>
      </c>
      <c r="BW93" s="11">
        <f t="shared" si="43"/>
        <v>251446.84780999998</v>
      </c>
      <c r="BX93" s="40">
        <f>'[1]Data 1667-1668'!C15</f>
        <v>3114058.0571699999</v>
      </c>
      <c r="BZ93" s="28">
        <v>34</v>
      </c>
      <c r="CA93" s="11">
        <f t="shared" si="49"/>
        <v>7.3954955238235289</v>
      </c>
      <c r="CB93">
        <f t="shared" si="47"/>
        <v>3825000</v>
      </c>
      <c r="CD93">
        <v>6113</v>
      </c>
      <c r="CF93" s="10">
        <f t="shared" si="19"/>
        <v>301.57868771583622</v>
      </c>
    </row>
    <row r="94" spans="1:84" x14ac:dyDescent="0.25">
      <c r="A94" s="25">
        <f t="shared" si="44"/>
        <v>1669</v>
      </c>
      <c r="B94" s="25"/>
      <c r="C94" s="25"/>
      <c r="D94" s="25"/>
      <c r="E94" s="25"/>
      <c r="F94" s="25">
        <f t="shared" si="40"/>
        <v>0</v>
      </c>
      <c r="G94" s="25"/>
      <c r="H94" s="26"/>
      <c r="I94" s="25"/>
      <c r="J94" s="25"/>
      <c r="K94" s="25"/>
      <c r="L94" s="25"/>
      <c r="M94" s="25">
        <f t="shared" si="41"/>
        <v>0</v>
      </c>
      <c r="U94" s="11">
        <f t="shared" si="28"/>
        <v>0</v>
      </c>
      <c r="V94" s="11"/>
      <c r="AO94" s="11">
        <f t="shared" si="42"/>
        <v>0</v>
      </c>
      <c r="AV94">
        <v>1056782</v>
      </c>
      <c r="AW94" s="11">
        <f t="shared" si="48"/>
        <v>522145.41837999999</v>
      </c>
      <c r="AY94" s="11">
        <f t="shared" si="15"/>
        <v>470572.99590599991</v>
      </c>
      <c r="BA94" s="1">
        <v>69262.125</v>
      </c>
      <c r="BB94">
        <v>251908</v>
      </c>
      <c r="BC94" s="11">
        <f t="shared" si="46"/>
        <v>124465.22371999999</v>
      </c>
      <c r="BD94" s="11"/>
      <c r="BE94" s="11">
        <f t="shared" si="39"/>
        <v>248930.44743999999</v>
      </c>
      <c r="BF94" s="11">
        <f t="shared" si="35"/>
        <v>13379082.166609999</v>
      </c>
      <c r="BG94">
        <f t="shared" si="36"/>
        <v>7502342.6132455226</v>
      </c>
      <c r="BH94" s="11">
        <f t="shared" si="37"/>
        <v>56.075166590792172</v>
      </c>
      <c r="BW94" s="11">
        <f t="shared" si="43"/>
        <v>522145.41837999999</v>
      </c>
      <c r="BZ94" s="28">
        <f t="shared" si="50"/>
        <v>34</v>
      </c>
      <c r="CA94" s="11">
        <f t="shared" si="49"/>
        <v>15.357218187647058</v>
      </c>
      <c r="CB94">
        <f t="shared" si="47"/>
        <v>3825000</v>
      </c>
      <c r="CD94">
        <v>6280</v>
      </c>
      <c r="CF94" s="10">
        <f t="shared" si="19"/>
        <v>309.81746423285642</v>
      </c>
    </row>
    <row r="95" spans="1:84" x14ac:dyDescent="0.25">
      <c r="A95" s="25">
        <f t="shared" si="44"/>
        <v>1670</v>
      </c>
      <c r="B95" s="25"/>
      <c r="C95" s="25"/>
      <c r="D95" s="25"/>
      <c r="E95" s="25"/>
      <c r="F95" s="25">
        <f t="shared" si="40"/>
        <v>0</v>
      </c>
      <c r="G95" s="25"/>
      <c r="H95" s="26"/>
      <c r="I95" s="25"/>
      <c r="J95" s="25"/>
      <c r="K95" s="25"/>
      <c r="L95" s="25"/>
      <c r="M95" s="25">
        <f t="shared" si="41"/>
        <v>0</v>
      </c>
      <c r="U95" s="11">
        <f t="shared" si="28"/>
        <v>0</v>
      </c>
      <c r="V95" s="11"/>
      <c r="AO95" s="11">
        <f t="shared" si="42"/>
        <v>0</v>
      </c>
      <c r="AV95">
        <v>1616334</v>
      </c>
      <c r="AW95" s="11">
        <f t="shared" si="48"/>
        <v>798614.46606000001</v>
      </c>
      <c r="AY95" s="11">
        <f t="shared" si="15"/>
        <v>570112.16966999997</v>
      </c>
      <c r="BA95" s="1">
        <v>133666.02499999999</v>
      </c>
      <c r="BB95">
        <v>517968</v>
      </c>
      <c r="BC95" s="11">
        <f t="shared" si="46"/>
        <v>255922.80911999999</v>
      </c>
      <c r="BD95" s="11"/>
      <c r="BE95" s="11">
        <f t="shared" si="39"/>
        <v>511845.61823999998</v>
      </c>
      <c r="BF95" s="11">
        <f t="shared" si="35"/>
        <v>14177696.632669998</v>
      </c>
      <c r="BG95">
        <f t="shared" si="36"/>
        <v>7758265.4223655229</v>
      </c>
      <c r="BH95" s="11">
        <f t="shared" si="37"/>
        <v>54.721621031782909</v>
      </c>
      <c r="BW95" s="11">
        <f t="shared" si="43"/>
        <v>798614.46606000001</v>
      </c>
      <c r="BZ95" s="28">
        <f t="shared" si="50"/>
        <v>34</v>
      </c>
      <c r="CA95" s="11">
        <f t="shared" si="49"/>
        <v>23.488660766470588</v>
      </c>
      <c r="CB95">
        <f t="shared" si="47"/>
        <v>3825000</v>
      </c>
      <c r="CD95">
        <v>5685</v>
      </c>
      <c r="CF95" s="10">
        <f t="shared" si="19"/>
        <v>280.46373951652691</v>
      </c>
    </row>
    <row r="96" spans="1:84" x14ac:dyDescent="0.25">
      <c r="A96" s="25">
        <f t="shared" si="44"/>
        <v>1671</v>
      </c>
      <c r="B96" s="25"/>
      <c r="C96" s="25"/>
      <c r="D96" s="25"/>
      <c r="E96" s="25"/>
      <c r="F96" s="25">
        <f t="shared" si="40"/>
        <v>0</v>
      </c>
      <c r="G96" s="25"/>
      <c r="H96" s="26"/>
      <c r="I96" s="25"/>
      <c r="J96" s="25"/>
      <c r="K96" s="25"/>
      <c r="L96" s="25"/>
      <c r="M96" s="25">
        <f t="shared" si="41"/>
        <v>0</v>
      </c>
      <c r="U96" s="11">
        <f t="shared" si="28"/>
        <v>0</v>
      </c>
      <c r="V96" s="11"/>
      <c r="AO96" s="11">
        <f t="shared" si="42"/>
        <v>0</v>
      </c>
      <c r="AV96">
        <v>1306716</v>
      </c>
      <c r="AW96" s="11">
        <f t="shared" si="48"/>
        <v>645635.30843999994</v>
      </c>
      <c r="AY96" s="11">
        <f t="shared" si="15"/>
        <v>519822.800108</v>
      </c>
      <c r="BA96" s="1">
        <v>156488.07499999998</v>
      </c>
      <c r="BB96">
        <v>716930</v>
      </c>
      <c r="BC96" s="11">
        <f t="shared" si="46"/>
        <v>354227.9437</v>
      </c>
      <c r="BD96" s="11"/>
      <c r="BE96" s="11">
        <f t="shared" si="39"/>
        <v>708455.88740000001</v>
      </c>
      <c r="BF96" s="11">
        <f t="shared" si="35"/>
        <v>14823331.941109998</v>
      </c>
      <c r="BG96">
        <f t="shared" si="36"/>
        <v>8112493.3660655227</v>
      </c>
      <c r="BH96" s="11">
        <f t="shared" si="37"/>
        <v>54.727866840564353</v>
      </c>
      <c r="BW96" s="11">
        <f t="shared" si="43"/>
        <v>645635.30843999994</v>
      </c>
      <c r="BZ96" s="28">
        <f t="shared" si="50"/>
        <v>34</v>
      </c>
      <c r="CA96" s="11">
        <f t="shared" si="49"/>
        <v>18.989273777647057</v>
      </c>
      <c r="CB96">
        <f t="shared" si="47"/>
        <v>3825000</v>
      </c>
      <c r="CD96">
        <v>7153</v>
      </c>
      <c r="CF96" s="10">
        <f t="shared" si="19"/>
        <v>352.88603848051309</v>
      </c>
    </row>
    <row r="97" spans="1:89" x14ac:dyDescent="0.25">
      <c r="A97" s="25">
        <f t="shared" si="44"/>
        <v>1672</v>
      </c>
      <c r="B97" s="25"/>
      <c r="C97" s="25"/>
      <c r="D97" s="25"/>
      <c r="E97" s="25"/>
      <c r="F97" s="25">
        <f t="shared" si="40"/>
        <v>0</v>
      </c>
      <c r="G97" s="25"/>
      <c r="H97" s="26"/>
      <c r="I97" s="25"/>
      <c r="J97" s="25"/>
      <c r="K97" s="25"/>
      <c r="L97" s="25"/>
      <c r="M97" s="25">
        <f t="shared" si="41"/>
        <v>0</v>
      </c>
      <c r="U97" s="11">
        <f t="shared" si="28"/>
        <v>0</v>
      </c>
      <c r="V97" s="11"/>
      <c r="AO97" s="11">
        <f t="shared" si="42"/>
        <v>0</v>
      </c>
      <c r="AV97">
        <v>1280574</v>
      </c>
      <c r="AW97" s="11">
        <f t="shared" si="48"/>
        <v>632718.80765999993</v>
      </c>
      <c r="AY97" s="11">
        <f t="shared" si="15"/>
        <v>447498.20236199989</v>
      </c>
      <c r="BA97" s="1">
        <v>105103.125</v>
      </c>
      <c r="BB97">
        <v>580631</v>
      </c>
      <c r="BC97" s="11">
        <f t="shared" si="46"/>
        <v>286883.97078999999</v>
      </c>
      <c r="BD97" s="11"/>
      <c r="BE97" s="11">
        <f t="shared" si="39"/>
        <v>573767.94157999998</v>
      </c>
      <c r="BF97" s="11">
        <f t="shared" si="35"/>
        <v>15456050.748769999</v>
      </c>
      <c r="BG97">
        <f t="shared" si="36"/>
        <v>8399377.3368555233</v>
      </c>
      <c r="BH97" s="11">
        <f t="shared" si="37"/>
        <v>54.34361903556735</v>
      </c>
      <c r="BW97" s="11">
        <f t="shared" si="43"/>
        <v>632718.80765999993</v>
      </c>
      <c r="BZ97" s="28">
        <f t="shared" si="50"/>
        <v>34</v>
      </c>
      <c r="CA97" s="11">
        <f t="shared" si="49"/>
        <v>18.60937669588235</v>
      </c>
      <c r="CB97">
        <f t="shared" si="47"/>
        <v>3825000</v>
      </c>
      <c r="CD97">
        <v>4895</v>
      </c>
      <c r="CF97" s="10">
        <f t="shared" si="19"/>
        <v>241.48988653182042</v>
      </c>
    </row>
    <row r="98" spans="1:89" x14ac:dyDescent="0.25">
      <c r="A98" s="25">
        <f>A97+1</f>
        <v>1673</v>
      </c>
      <c r="B98" s="25"/>
      <c r="C98" s="25"/>
      <c r="D98" s="25"/>
      <c r="E98" s="25"/>
      <c r="F98" s="25">
        <f t="shared" si="40"/>
        <v>0</v>
      </c>
      <c r="G98" s="25"/>
      <c r="H98" s="26"/>
      <c r="I98" s="25"/>
      <c r="J98" s="25"/>
      <c r="K98" s="25"/>
      <c r="L98" s="25"/>
      <c r="M98" s="25">
        <f t="shared" si="41"/>
        <v>0</v>
      </c>
      <c r="U98" s="11">
        <f t="shared" si="28"/>
        <v>0</v>
      </c>
      <c r="V98" s="11"/>
      <c r="AO98" s="11">
        <f t="shared" si="42"/>
        <v>0</v>
      </c>
      <c r="AW98" s="11"/>
      <c r="AY98" s="11">
        <f t="shared" si="15"/>
        <v>356379.01392399997</v>
      </c>
      <c r="BA98" s="1">
        <v>43062.925000000003</v>
      </c>
      <c r="BB98">
        <v>238652</v>
      </c>
      <c r="BC98" s="11">
        <f t="shared" si="46"/>
        <v>117915.56667999999</v>
      </c>
      <c r="BD98" s="11"/>
      <c r="BE98" s="11">
        <f t="shared" si="39"/>
        <v>235831.13335999998</v>
      </c>
      <c r="BF98" s="11">
        <f t="shared" si="35"/>
        <v>15456050.748769999</v>
      </c>
      <c r="BG98">
        <f t="shared" si="36"/>
        <v>8517292.9035355225</v>
      </c>
      <c r="BH98" s="11">
        <f t="shared" si="37"/>
        <v>55.106527805709582</v>
      </c>
      <c r="BW98" s="11">
        <f t="shared" si="43"/>
        <v>0</v>
      </c>
      <c r="BZ98" s="28">
        <f t="shared" si="50"/>
        <v>34</v>
      </c>
      <c r="CA98" s="11">
        <f t="shared" si="49"/>
        <v>0</v>
      </c>
      <c r="CB98">
        <f t="shared" si="47"/>
        <v>3825000</v>
      </c>
    </row>
    <row r="99" spans="1:89" x14ac:dyDescent="0.25">
      <c r="A99" s="25">
        <f t="shared" si="44"/>
        <v>1674</v>
      </c>
      <c r="B99" s="25"/>
      <c r="C99" s="25"/>
      <c r="D99" s="25"/>
      <c r="E99" s="25"/>
      <c r="F99" s="25">
        <f t="shared" si="40"/>
        <v>0</v>
      </c>
      <c r="G99" s="25"/>
      <c r="H99" s="26"/>
      <c r="I99" s="25"/>
      <c r="J99" s="25"/>
      <c r="K99" s="25"/>
      <c r="L99" s="25"/>
      <c r="M99" s="25">
        <f t="shared" si="41"/>
        <v>0</v>
      </c>
      <c r="U99" s="11">
        <f t="shared" si="28"/>
        <v>0</v>
      </c>
      <c r="V99" s="11"/>
      <c r="AO99" s="11">
        <f t="shared" si="42"/>
        <v>0</v>
      </c>
      <c r="AV99">
        <v>324885</v>
      </c>
      <c r="AW99" s="11">
        <f t="shared" si="48"/>
        <v>160522.42965000001</v>
      </c>
      <c r="AY99" s="11">
        <f t="shared" si="15"/>
        <v>281446.11506799998</v>
      </c>
      <c r="BA99" s="1">
        <v>36353.275000000001</v>
      </c>
      <c r="BB99">
        <v>198664</v>
      </c>
      <c r="BC99" s="11">
        <f t="shared" si="46"/>
        <v>98157.895759999999</v>
      </c>
      <c r="BD99" s="11"/>
      <c r="BE99" s="11">
        <f t="shared" si="39"/>
        <v>196315.79152</v>
      </c>
      <c r="BF99" s="11">
        <f t="shared" si="35"/>
        <v>15616573.178419998</v>
      </c>
      <c r="BG99">
        <f t="shared" si="36"/>
        <v>8615450.7992955223</v>
      </c>
      <c r="BH99" s="11">
        <f t="shared" si="37"/>
        <v>55.168638476979801</v>
      </c>
      <c r="BW99" s="11">
        <f t="shared" si="43"/>
        <v>160522.42965000001</v>
      </c>
      <c r="BZ99" s="28">
        <f t="shared" si="50"/>
        <v>34</v>
      </c>
      <c r="CA99" s="11">
        <f t="shared" si="49"/>
        <v>4.7212479308823534</v>
      </c>
      <c r="CB99">
        <f t="shared" si="47"/>
        <v>3825000</v>
      </c>
    </row>
    <row r="100" spans="1:89" x14ac:dyDescent="0.25">
      <c r="A100" s="25">
        <f t="shared" si="44"/>
        <v>1675</v>
      </c>
      <c r="B100" s="25"/>
      <c r="C100" s="25"/>
      <c r="D100" s="25"/>
      <c r="E100" s="25"/>
      <c r="F100" s="25">
        <f t="shared" si="40"/>
        <v>0</v>
      </c>
      <c r="G100" s="25"/>
      <c r="H100" s="26"/>
      <c r="I100" s="25"/>
      <c r="J100" s="25"/>
      <c r="K100" s="25"/>
      <c r="L100" s="25"/>
      <c r="M100" s="25">
        <f t="shared" si="41"/>
        <v>0</v>
      </c>
      <c r="U100" s="11">
        <f t="shared" si="28"/>
        <v>0</v>
      </c>
      <c r="V100" s="11"/>
      <c r="AO100" s="11">
        <f t="shared" si="42"/>
        <v>0</v>
      </c>
      <c r="AV100">
        <v>694243</v>
      </c>
      <c r="AW100" s="11">
        <f t="shared" si="48"/>
        <v>343018.52386999998</v>
      </c>
      <c r="AY100" s="11">
        <f t="shared" si="15"/>
        <v>154902.35353600001</v>
      </c>
      <c r="BA100" s="1">
        <v>23595.7</v>
      </c>
      <c r="BB100">
        <v>126720</v>
      </c>
      <c r="BC100" s="11">
        <f t="shared" si="46"/>
        <v>62611.084799999997</v>
      </c>
      <c r="BD100" s="11"/>
      <c r="BE100" s="11">
        <f t="shared" si="39"/>
        <v>125222.16959999999</v>
      </c>
      <c r="BF100" s="11">
        <f t="shared" si="35"/>
        <v>15959591.702289999</v>
      </c>
      <c r="BG100">
        <f t="shared" si="36"/>
        <v>8678061.8840955216</v>
      </c>
      <c r="BH100" s="11">
        <f t="shared" si="37"/>
        <v>54.375212386231219</v>
      </c>
      <c r="BW100" s="11">
        <f t="shared" si="43"/>
        <v>343018.52386999998</v>
      </c>
      <c r="BZ100" s="28">
        <f t="shared" si="50"/>
        <v>34</v>
      </c>
      <c r="CA100" s="11">
        <f t="shared" si="49"/>
        <v>10.088780113823528</v>
      </c>
      <c r="CB100">
        <f t="shared" si="47"/>
        <v>3825000</v>
      </c>
      <c r="CJ100">
        <v>25600</v>
      </c>
    </row>
    <row r="101" spans="1:89" x14ac:dyDescent="0.25">
      <c r="A101" s="25">
        <f t="shared" si="44"/>
        <v>1676</v>
      </c>
      <c r="B101" s="25"/>
      <c r="C101" s="25"/>
      <c r="D101" s="25"/>
      <c r="E101" s="25"/>
      <c r="F101" s="25">
        <f t="shared" si="40"/>
        <v>0</v>
      </c>
      <c r="G101" s="25"/>
      <c r="H101" s="26"/>
      <c r="I101" s="25"/>
      <c r="J101" s="25"/>
      <c r="K101" s="25"/>
      <c r="L101" s="25"/>
      <c r="M101" s="25">
        <f t="shared" si="41"/>
        <v>0</v>
      </c>
      <c r="U101" s="11">
        <f t="shared" si="28"/>
        <v>0</v>
      </c>
      <c r="V101" s="11"/>
      <c r="AO101" s="11">
        <f t="shared" si="42"/>
        <v>0</v>
      </c>
      <c r="AV101">
        <v>548424</v>
      </c>
      <c r="AW101" s="11">
        <f t="shared" si="48"/>
        <v>270970.81416000001</v>
      </c>
      <c r="AY101" s="11">
        <f t="shared" si="15"/>
        <v>154902.35353600001</v>
      </c>
      <c r="BA101" s="1">
        <v>48077.4</v>
      </c>
      <c r="BB101">
        <v>241763</v>
      </c>
      <c r="BC101" s="11">
        <f t="shared" si="46"/>
        <v>119452.68066999999</v>
      </c>
      <c r="BD101" s="11"/>
      <c r="BE101" s="11">
        <f t="shared" si="39"/>
        <v>238905.36133999997</v>
      </c>
      <c r="BF101" s="11">
        <f t="shared" si="35"/>
        <v>16230562.516449999</v>
      </c>
      <c r="BG101">
        <f t="shared" si="36"/>
        <v>8797514.5647655223</v>
      </c>
      <c r="BH101" s="11">
        <f t="shared" si="37"/>
        <v>54.20338670239596</v>
      </c>
      <c r="BW101" s="11">
        <f t="shared" si="43"/>
        <v>270970.81416000001</v>
      </c>
      <c r="BZ101" s="28">
        <f t="shared" si="50"/>
        <v>34</v>
      </c>
      <c r="CA101" s="11">
        <f t="shared" si="49"/>
        <v>7.9697298282352937</v>
      </c>
      <c r="CB101">
        <f t="shared" si="47"/>
        <v>3825000</v>
      </c>
      <c r="CJ101">
        <v>66400</v>
      </c>
    </row>
    <row r="102" spans="1:89" x14ac:dyDescent="0.25">
      <c r="A102" s="25">
        <f t="shared" si="44"/>
        <v>1677</v>
      </c>
      <c r="B102" s="25"/>
      <c r="C102" s="25"/>
      <c r="D102" s="25"/>
      <c r="E102" s="25"/>
      <c r="F102" s="25">
        <f t="shared" si="40"/>
        <v>0</v>
      </c>
      <c r="G102" s="25"/>
      <c r="H102" s="26"/>
      <c r="I102" s="25"/>
      <c r="J102" s="25"/>
      <c r="K102" s="25"/>
      <c r="L102" s="25"/>
      <c r="M102" s="25">
        <f t="shared" si="41"/>
        <v>0</v>
      </c>
      <c r="U102" s="11">
        <f t="shared" si="28"/>
        <v>0</v>
      </c>
      <c r="V102" s="11"/>
      <c r="AO102" s="11">
        <f t="shared" si="42"/>
        <v>0</v>
      </c>
      <c r="AY102" s="11">
        <f t="shared" si="15"/>
        <v>122797.867606</v>
      </c>
      <c r="BA102" s="1">
        <v>55191.25</v>
      </c>
      <c r="BB102">
        <v>279157</v>
      </c>
      <c r="BC102" s="11">
        <f t="shared" si="46"/>
        <v>137928.68213</v>
      </c>
      <c r="BD102" s="11"/>
      <c r="BE102" s="11">
        <f t="shared" si="39"/>
        <v>275857.36426</v>
      </c>
      <c r="BF102" s="11">
        <f t="shared" si="35"/>
        <v>16230562.516449999</v>
      </c>
      <c r="BG102">
        <f t="shared" si="36"/>
        <v>8935443.2468955219</v>
      </c>
      <c r="BH102" s="11">
        <f t="shared" si="37"/>
        <v>55.053195093141547</v>
      </c>
      <c r="BW102" s="11">
        <f t="shared" si="43"/>
        <v>0</v>
      </c>
      <c r="BZ102" s="28">
        <f t="shared" si="50"/>
        <v>34</v>
      </c>
      <c r="CA102" s="11">
        <f t="shared" si="49"/>
        <v>0</v>
      </c>
      <c r="CB102">
        <f t="shared" si="47"/>
        <v>3825000</v>
      </c>
      <c r="CJ102">
        <v>432800</v>
      </c>
    </row>
    <row r="103" spans="1:89" x14ac:dyDescent="0.25">
      <c r="A103" s="25">
        <f t="shared" si="44"/>
        <v>1678</v>
      </c>
      <c r="B103" s="25"/>
      <c r="C103" s="25"/>
      <c r="D103" s="25"/>
      <c r="E103" s="25"/>
      <c r="F103" s="25">
        <f t="shared" si="40"/>
        <v>0</v>
      </c>
      <c r="G103" s="25"/>
      <c r="H103" s="26"/>
      <c r="I103" s="25"/>
      <c r="J103" s="25"/>
      <c r="K103" s="25"/>
      <c r="L103" s="25"/>
      <c r="M103" s="25">
        <f t="shared" si="41"/>
        <v>0</v>
      </c>
      <c r="U103" s="11">
        <f t="shared" si="28"/>
        <v>0</v>
      </c>
      <c r="V103" s="11"/>
      <c r="AO103" s="11">
        <f t="shared" si="42"/>
        <v>0</v>
      </c>
      <c r="AY103" s="11">
        <f t="shared" si="15"/>
        <v>54194.162832000002</v>
      </c>
      <c r="BA103" s="1">
        <v>0</v>
      </c>
      <c r="BB103">
        <v>0</v>
      </c>
      <c r="BC103" s="11">
        <f t="shared" si="46"/>
        <v>0</v>
      </c>
      <c r="BD103" s="11"/>
      <c r="BE103" s="11">
        <f t="shared" si="39"/>
        <v>0</v>
      </c>
      <c r="BF103" s="11">
        <f t="shared" si="35"/>
        <v>16230562.516449999</v>
      </c>
      <c r="BG103">
        <f t="shared" si="36"/>
        <v>8935443.2468955219</v>
      </c>
      <c r="BH103" s="11">
        <f t="shared" si="37"/>
        <v>55.053195093141547</v>
      </c>
      <c r="BW103" s="11">
        <f t="shared" si="43"/>
        <v>0</v>
      </c>
      <c r="BZ103" s="28">
        <f t="shared" si="50"/>
        <v>34</v>
      </c>
      <c r="CA103" s="11">
        <f t="shared" si="49"/>
        <v>0</v>
      </c>
      <c r="CB103">
        <f t="shared" si="47"/>
        <v>3825000</v>
      </c>
      <c r="CJ103">
        <v>484000</v>
      </c>
    </row>
    <row r="104" spans="1:89" x14ac:dyDescent="0.25">
      <c r="A104" s="25">
        <f t="shared" si="44"/>
        <v>1679</v>
      </c>
      <c r="B104" s="25"/>
      <c r="C104" s="25"/>
      <c r="D104" s="25"/>
      <c r="E104" s="25"/>
      <c r="F104" s="25">
        <f t="shared" si="40"/>
        <v>0</v>
      </c>
      <c r="G104" s="25"/>
      <c r="H104" s="26"/>
      <c r="I104" s="25"/>
      <c r="J104" s="25"/>
      <c r="K104" s="25"/>
      <c r="L104" s="25"/>
      <c r="M104" s="25">
        <f t="shared" si="41"/>
        <v>0</v>
      </c>
      <c r="U104" s="11">
        <f t="shared" si="28"/>
        <v>0</v>
      </c>
      <c r="V104" s="11"/>
      <c r="AO104" s="11">
        <f t="shared" si="42"/>
        <v>0</v>
      </c>
      <c r="AY104" s="11"/>
      <c r="BA104" s="1">
        <v>48673</v>
      </c>
      <c r="BB104">
        <v>0</v>
      </c>
      <c r="BC104" s="11">
        <f t="shared" si="46"/>
        <v>0</v>
      </c>
      <c r="BD104" s="11"/>
      <c r="BE104" s="11">
        <f t="shared" si="39"/>
        <v>0</v>
      </c>
      <c r="BF104" s="11">
        <f t="shared" si="35"/>
        <v>16230562.516449999</v>
      </c>
      <c r="BG104">
        <f t="shared" si="36"/>
        <v>8935443.2468955219</v>
      </c>
      <c r="BH104" s="11">
        <f t="shared" si="37"/>
        <v>55.053195093141547</v>
      </c>
      <c r="BW104" s="11">
        <f t="shared" si="43"/>
        <v>0</v>
      </c>
      <c r="BZ104" s="28">
        <f t="shared" si="50"/>
        <v>34</v>
      </c>
      <c r="CA104" s="11">
        <f t="shared" si="49"/>
        <v>0</v>
      </c>
      <c r="CB104">
        <f t="shared" si="47"/>
        <v>3825000</v>
      </c>
      <c r="CJ104">
        <v>613000</v>
      </c>
    </row>
    <row r="105" spans="1:89" x14ac:dyDescent="0.25">
      <c r="A105" s="25">
        <f t="shared" si="44"/>
        <v>1680</v>
      </c>
      <c r="B105" s="25"/>
      <c r="C105" s="25"/>
      <c r="D105" s="25"/>
      <c r="E105" s="25"/>
      <c r="F105" s="25">
        <f t="shared" si="40"/>
        <v>0</v>
      </c>
      <c r="G105" s="25"/>
      <c r="H105" s="26"/>
      <c r="I105" s="25"/>
      <c r="J105" s="25"/>
      <c r="K105" s="25"/>
      <c r="L105" s="25"/>
      <c r="M105" s="25">
        <f t="shared" si="41"/>
        <v>0</v>
      </c>
      <c r="U105" s="11">
        <f t="shared" si="28"/>
        <v>0</v>
      </c>
      <c r="V105" s="11"/>
      <c r="AO105" s="11">
        <f t="shared" si="42"/>
        <v>0</v>
      </c>
      <c r="AV105">
        <v>0</v>
      </c>
      <c r="AW105" s="11">
        <f t="shared" ref="AW105:AW125" si="51">AV105*$AW$4</f>
        <v>0</v>
      </c>
      <c r="AY105" s="11"/>
      <c r="BA105" s="1">
        <v>0</v>
      </c>
      <c r="BB105">
        <v>0</v>
      </c>
      <c r="BC105" s="11">
        <f t="shared" si="46"/>
        <v>0</v>
      </c>
      <c r="BD105" s="11"/>
      <c r="BE105" s="11">
        <f t="shared" si="39"/>
        <v>0</v>
      </c>
      <c r="BF105" s="11">
        <f t="shared" si="35"/>
        <v>16230562.516449999</v>
      </c>
      <c r="BG105">
        <f t="shared" si="36"/>
        <v>8935443.2468955219</v>
      </c>
      <c r="BH105" s="11">
        <f t="shared" si="37"/>
        <v>55.053195093141547</v>
      </c>
      <c r="BW105" s="11">
        <f t="shared" si="43"/>
        <v>0</v>
      </c>
      <c r="BZ105" s="28">
        <v>20</v>
      </c>
      <c r="CA105" s="11">
        <f t="shared" si="49"/>
        <v>0</v>
      </c>
      <c r="CB105">
        <f t="shared" si="47"/>
        <v>2250000</v>
      </c>
      <c r="CJ105">
        <v>390400</v>
      </c>
      <c r="CK105">
        <f>112000</f>
        <v>112000</v>
      </c>
    </row>
    <row r="106" spans="1:89" x14ac:dyDescent="0.25">
      <c r="A106" s="25">
        <f t="shared" si="44"/>
        <v>1681</v>
      </c>
      <c r="B106" s="25"/>
      <c r="C106" s="25"/>
      <c r="D106" s="25"/>
      <c r="E106" s="25"/>
      <c r="F106" s="25">
        <f t="shared" si="40"/>
        <v>0</v>
      </c>
      <c r="G106" s="25"/>
      <c r="H106" s="26"/>
      <c r="I106" s="25"/>
      <c r="J106" s="25"/>
      <c r="K106" s="25"/>
      <c r="L106" s="25"/>
      <c r="M106" s="25">
        <f t="shared" si="41"/>
        <v>0</v>
      </c>
      <c r="U106" s="11">
        <f t="shared" si="28"/>
        <v>0</v>
      </c>
      <c r="V106" s="11"/>
      <c r="AO106" s="11">
        <f t="shared" si="42"/>
        <v>0</v>
      </c>
      <c r="AV106">
        <v>0</v>
      </c>
      <c r="AW106" s="11">
        <f t="shared" si="51"/>
        <v>0</v>
      </c>
      <c r="AY106" s="11"/>
      <c r="BA106" s="1">
        <v>0</v>
      </c>
      <c r="BB106">
        <v>0</v>
      </c>
      <c r="BC106" s="11">
        <f t="shared" si="46"/>
        <v>0</v>
      </c>
      <c r="BD106" s="11"/>
      <c r="BE106" s="11">
        <f t="shared" si="39"/>
        <v>0</v>
      </c>
      <c r="BF106" s="11">
        <f t="shared" si="35"/>
        <v>16230562.516449999</v>
      </c>
      <c r="BG106">
        <f t="shared" si="36"/>
        <v>8935443.2468955219</v>
      </c>
      <c r="BH106" s="11">
        <f t="shared" si="37"/>
        <v>55.053195093141547</v>
      </c>
      <c r="BR106">
        <v>2000000</v>
      </c>
      <c r="BS106">
        <f>BR106*0.86</f>
        <v>1720000</v>
      </c>
      <c r="BT106">
        <f>BS106*$AW$4</f>
        <v>849834.79999999993</v>
      </c>
      <c r="BU106">
        <f>AVERAGE(BT104:BT108)</f>
        <v>1395264.0861074999</v>
      </c>
      <c r="BW106" s="11">
        <f t="shared" si="43"/>
        <v>849834.79999999993</v>
      </c>
      <c r="BZ106" s="28">
        <f t="shared" si="50"/>
        <v>20</v>
      </c>
      <c r="CA106" s="11">
        <f t="shared" si="49"/>
        <v>42.49174</v>
      </c>
      <c r="CB106">
        <f t="shared" si="47"/>
        <v>2250000</v>
      </c>
      <c r="CJ106">
        <v>728000</v>
      </c>
      <c r="CK106">
        <f>83200</f>
        <v>83200</v>
      </c>
    </row>
    <row r="107" spans="1:89" x14ac:dyDescent="0.25">
      <c r="A107" s="25">
        <f t="shared" si="44"/>
        <v>1682</v>
      </c>
      <c r="B107" s="25"/>
      <c r="C107" s="25"/>
      <c r="D107" s="25"/>
      <c r="E107" s="25"/>
      <c r="F107" s="25">
        <f t="shared" si="40"/>
        <v>0</v>
      </c>
      <c r="G107" s="25"/>
      <c r="H107" s="26"/>
      <c r="I107" s="25"/>
      <c r="J107" s="25"/>
      <c r="K107" s="25"/>
      <c r="L107" s="25"/>
      <c r="M107" s="25">
        <f t="shared" si="41"/>
        <v>0</v>
      </c>
      <c r="U107" s="11">
        <f t="shared" si="28"/>
        <v>0</v>
      </c>
      <c r="V107" s="11"/>
      <c r="AO107" s="11">
        <f t="shared" si="42"/>
        <v>0</v>
      </c>
      <c r="AV107">
        <v>0</v>
      </c>
      <c r="AW107" s="11">
        <f t="shared" si="51"/>
        <v>0</v>
      </c>
      <c r="AY107" s="11"/>
      <c r="BA107" s="1">
        <v>0</v>
      </c>
      <c r="BB107">
        <v>0</v>
      </c>
      <c r="BC107" s="11">
        <f t="shared" si="46"/>
        <v>0</v>
      </c>
      <c r="BD107" s="11"/>
      <c r="BE107" s="11">
        <f t="shared" si="39"/>
        <v>0</v>
      </c>
      <c r="BF107" s="11">
        <f t="shared" si="35"/>
        <v>16230562.516449999</v>
      </c>
      <c r="BG107">
        <f t="shared" si="36"/>
        <v>8935443.2468955219</v>
      </c>
      <c r="BH107" s="11">
        <f t="shared" si="37"/>
        <v>55.053195093141547</v>
      </c>
      <c r="BW107" s="11">
        <f t="shared" si="43"/>
        <v>0</v>
      </c>
      <c r="BZ107" s="28">
        <f t="shared" si="50"/>
        <v>20</v>
      </c>
      <c r="CA107" s="11">
        <f t="shared" si="49"/>
        <v>0</v>
      </c>
      <c r="CB107">
        <f t="shared" si="47"/>
        <v>2250000</v>
      </c>
      <c r="CJ107">
        <v>460800</v>
      </c>
    </row>
    <row r="108" spans="1:89" x14ac:dyDescent="0.25">
      <c r="A108" s="25">
        <f t="shared" si="44"/>
        <v>1683</v>
      </c>
      <c r="B108" s="25"/>
      <c r="C108" s="25"/>
      <c r="D108" s="25"/>
      <c r="E108" s="25"/>
      <c r="F108" s="25">
        <f t="shared" si="40"/>
        <v>0</v>
      </c>
      <c r="G108" s="25"/>
      <c r="H108" s="26"/>
      <c r="I108" s="25"/>
      <c r="J108" s="25"/>
      <c r="K108" s="25"/>
      <c r="L108" s="25"/>
      <c r="M108" s="25">
        <f t="shared" si="41"/>
        <v>0</v>
      </c>
      <c r="U108" s="11">
        <f t="shared" si="28"/>
        <v>0</v>
      </c>
      <c r="V108" s="11"/>
      <c r="AO108" s="11">
        <f t="shared" si="42"/>
        <v>0</v>
      </c>
      <c r="AV108">
        <v>0</v>
      </c>
      <c r="AW108" s="11">
        <f t="shared" si="51"/>
        <v>0</v>
      </c>
      <c r="AY108" s="11"/>
      <c r="BA108" s="1">
        <v>0</v>
      </c>
      <c r="BB108">
        <v>0</v>
      </c>
      <c r="BC108" s="11">
        <f t="shared" si="46"/>
        <v>0</v>
      </c>
      <c r="BD108" s="11"/>
      <c r="BE108" s="11">
        <f t="shared" si="39"/>
        <v>0</v>
      </c>
      <c r="BF108" s="11">
        <f t="shared" si="35"/>
        <v>16230562.516449999</v>
      </c>
      <c r="BG108">
        <f t="shared" si="36"/>
        <v>8935443.2468955219</v>
      </c>
      <c r="BH108" s="11">
        <f t="shared" si="37"/>
        <v>55.053195093141547</v>
      </c>
      <c r="BR108">
        <v>4567225</v>
      </c>
      <c r="BS108">
        <f t="shared" ref="BS108:BS125" si="52">BR108*0.86</f>
        <v>3927813.5</v>
      </c>
      <c r="BT108">
        <f t="shared" ref="BT108:BT125" si="53">BS108*$AW$4</f>
        <v>1940693.372215</v>
      </c>
      <c r="BU108">
        <f t="shared" ref="BU108:BU125" si="54">AVERAGE(BT106:BT110)</f>
        <v>1617655.6552498997</v>
      </c>
      <c r="BW108" s="11">
        <f t="shared" si="43"/>
        <v>1940693.372215</v>
      </c>
      <c r="BZ108" s="28">
        <f t="shared" si="50"/>
        <v>20</v>
      </c>
      <c r="CA108" s="11">
        <f t="shared" si="49"/>
        <v>97.034668610750003</v>
      </c>
      <c r="CB108">
        <f t="shared" si="47"/>
        <v>2250000</v>
      </c>
      <c r="CJ108">
        <v>240000</v>
      </c>
      <c r="CK108">
        <f>71200</f>
        <v>71200</v>
      </c>
    </row>
    <row r="109" spans="1:89" x14ac:dyDescent="0.25">
      <c r="A109" s="25">
        <f t="shared" si="44"/>
        <v>1684</v>
      </c>
      <c r="B109" s="25"/>
      <c r="C109" s="25"/>
      <c r="D109" s="25"/>
      <c r="E109" s="25"/>
      <c r="F109" s="25">
        <f t="shared" si="40"/>
        <v>0</v>
      </c>
      <c r="G109" s="25"/>
      <c r="H109" s="26"/>
      <c r="I109" s="25"/>
      <c r="J109" s="25"/>
      <c r="K109" s="25"/>
      <c r="L109" s="25"/>
      <c r="M109" s="25">
        <f t="shared" si="41"/>
        <v>0</v>
      </c>
      <c r="U109" s="11">
        <f t="shared" si="28"/>
        <v>0</v>
      </c>
      <c r="V109" s="11"/>
      <c r="AO109" s="11">
        <f t="shared" si="42"/>
        <v>0</v>
      </c>
      <c r="AV109">
        <v>0</v>
      </c>
      <c r="AW109" s="11">
        <f t="shared" si="51"/>
        <v>0</v>
      </c>
      <c r="AY109" s="11"/>
      <c r="BA109" s="1">
        <v>0</v>
      </c>
      <c r="BB109">
        <v>0</v>
      </c>
      <c r="BC109" s="11">
        <f t="shared" si="46"/>
        <v>0</v>
      </c>
      <c r="BD109" s="11"/>
      <c r="BE109" s="11">
        <f t="shared" si="39"/>
        <v>0</v>
      </c>
      <c r="BF109" s="11">
        <f t="shared" si="35"/>
        <v>16230562.516449999</v>
      </c>
      <c r="BG109">
        <f t="shared" si="36"/>
        <v>8935443.2468955219</v>
      </c>
      <c r="BH109" s="11">
        <f t="shared" si="37"/>
        <v>55.053195093141547</v>
      </c>
      <c r="BR109">
        <v>5347260</v>
      </c>
      <c r="BS109">
        <f t="shared" si="52"/>
        <v>4598643.5999999996</v>
      </c>
      <c r="BT109">
        <f t="shared" si="53"/>
        <v>2272143.8163239998</v>
      </c>
      <c r="BU109">
        <f t="shared" si="54"/>
        <v>1764470.88448155</v>
      </c>
      <c r="BW109" s="11">
        <f t="shared" si="43"/>
        <v>2272143.8163239998</v>
      </c>
      <c r="BZ109" s="28">
        <f t="shared" si="50"/>
        <v>20</v>
      </c>
      <c r="CA109" s="11">
        <f t="shared" si="49"/>
        <v>113.60719081619999</v>
      </c>
      <c r="CB109">
        <f t="shared" si="47"/>
        <v>2250000</v>
      </c>
      <c r="CJ109">
        <v>129600</v>
      </c>
      <c r="CK109">
        <f>71200</f>
        <v>71200</v>
      </c>
    </row>
    <row r="110" spans="1:89" x14ac:dyDescent="0.25">
      <c r="A110" s="25">
        <f t="shared" si="44"/>
        <v>1685</v>
      </c>
      <c r="B110" s="25"/>
      <c r="C110" s="25"/>
      <c r="D110" s="25"/>
      <c r="E110" s="25"/>
      <c r="F110" s="25">
        <f t="shared" si="40"/>
        <v>0</v>
      </c>
      <c r="G110" s="25"/>
      <c r="H110" s="26"/>
      <c r="I110" s="25"/>
      <c r="J110" s="25"/>
      <c r="K110" s="25"/>
      <c r="L110" s="25"/>
      <c r="M110" s="25">
        <f t="shared" si="41"/>
        <v>0</v>
      </c>
      <c r="U110" s="11">
        <f t="shared" si="28"/>
        <v>0</v>
      </c>
      <c r="V110" s="11"/>
      <c r="AO110" s="11">
        <f t="shared" si="42"/>
        <v>0</v>
      </c>
      <c r="AV110">
        <v>0</v>
      </c>
      <c r="AW110" s="11">
        <f t="shared" si="51"/>
        <v>0</v>
      </c>
      <c r="AY110" s="11"/>
      <c r="BA110" s="1">
        <v>0</v>
      </c>
      <c r="BB110">
        <v>0</v>
      </c>
      <c r="BC110" s="11">
        <f t="shared" si="46"/>
        <v>0</v>
      </c>
      <c r="BD110" s="11"/>
      <c r="BE110" s="11">
        <f t="shared" si="39"/>
        <v>0</v>
      </c>
      <c r="BF110" s="11">
        <f t="shared" si="35"/>
        <v>16230562.516449999</v>
      </c>
      <c r="BG110">
        <f t="shared" si="36"/>
        <v>8935443.2468955219</v>
      </c>
      <c r="BH110" s="11">
        <f t="shared" si="37"/>
        <v>55.053195093141547</v>
      </c>
      <c r="BR110">
        <v>3313469</v>
      </c>
      <c r="BS110">
        <f t="shared" si="52"/>
        <v>2849583.34</v>
      </c>
      <c r="BT110">
        <f t="shared" si="53"/>
        <v>1407950.6324605998</v>
      </c>
      <c r="BU110">
        <f t="shared" si="54"/>
        <v>1876129.0429215599</v>
      </c>
      <c r="BW110" s="11">
        <f t="shared" si="43"/>
        <v>1407950.6324605998</v>
      </c>
      <c r="BZ110" s="28">
        <f t="shared" si="50"/>
        <v>20</v>
      </c>
      <c r="CA110" s="11">
        <f t="shared" si="49"/>
        <v>70.397531623029991</v>
      </c>
      <c r="CB110">
        <f t="shared" si="47"/>
        <v>2250000</v>
      </c>
      <c r="CJ110">
        <v>464000</v>
      </c>
      <c r="CK110">
        <f>108800+265600+38400</f>
        <v>412800</v>
      </c>
    </row>
    <row r="111" spans="1:89" x14ac:dyDescent="0.25">
      <c r="A111" s="25">
        <f t="shared" si="44"/>
        <v>1686</v>
      </c>
      <c r="B111" s="25"/>
      <c r="C111" s="25"/>
      <c r="D111" s="25"/>
      <c r="E111" s="25"/>
      <c r="F111" s="25">
        <f t="shared" si="40"/>
        <v>0</v>
      </c>
      <c r="G111" s="25"/>
      <c r="H111" s="26"/>
      <c r="I111" s="25"/>
      <c r="J111" s="25"/>
      <c r="K111" s="25"/>
      <c r="L111" s="25"/>
      <c r="M111" s="25">
        <f t="shared" si="41"/>
        <v>0</v>
      </c>
      <c r="U111" s="11">
        <f t="shared" si="28"/>
        <v>0</v>
      </c>
      <c r="V111" s="11"/>
      <c r="AO111" s="11">
        <f t="shared" si="42"/>
        <v>0</v>
      </c>
      <c r="AV111">
        <v>0</v>
      </c>
      <c r="AW111" s="11">
        <f t="shared" si="51"/>
        <v>0</v>
      </c>
      <c r="AY111" s="11">
        <f t="shared" ref="AY111:AY124" si="55">SUM(AW109:AW113)/5</f>
        <v>2506.02448</v>
      </c>
      <c r="BA111" s="1">
        <v>0</v>
      </c>
      <c r="BB111">
        <v>0</v>
      </c>
      <c r="BC111" s="11">
        <f t="shared" si="46"/>
        <v>0</v>
      </c>
      <c r="BD111" s="11"/>
      <c r="BE111" s="11">
        <f t="shared" si="39"/>
        <v>0</v>
      </c>
      <c r="BF111" s="11">
        <f t="shared" si="35"/>
        <v>16230562.516449999</v>
      </c>
      <c r="BG111">
        <f t="shared" si="36"/>
        <v>8935443.2468955219</v>
      </c>
      <c r="BH111" s="11">
        <f t="shared" si="37"/>
        <v>55.053195093141547</v>
      </c>
      <c r="BR111">
        <v>3382059</v>
      </c>
      <c r="BS111">
        <f t="shared" si="52"/>
        <v>2908570.7399999998</v>
      </c>
      <c r="BT111">
        <f t="shared" si="53"/>
        <v>1437095.7169265999</v>
      </c>
      <c r="BU111">
        <f t="shared" si="54"/>
        <v>2111995.33770232</v>
      </c>
      <c r="BW111" s="11">
        <f t="shared" si="43"/>
        <v>1437095.7169265999</v>
      </c>
      <c r="BZ111" s="28">
        <f t="shared" si="50"/>
        <v>20</v>
      </c>
      <c r="CA111" s="11">
        <f t="shared" si="49"/>
        <v>71.854785846329989</v>
      </c>
      <c r="CB111">
        <f t="shared" si="47"/>
        <v>2250000</v>
      </c>
      <c r="CJ111">
        <v>121600</v>
      </c>
      <c r="CK111">
        <f>6400+89600+176800</f>
        <v>272800</v>
      </c>
    </row>
    <row r="112" spans="1:89" x14ac:dyDescent="0.25">
      <c r="A112" s="25">
        <f t="shared" si="44"/>
        <v>1687</v>
      </c>
      <c r="B112" s="25"/>
      <c r="C112" s="25"/>
      <c r="D112" s="25"/>
      <c r="E112" s="25"/>
      <c r="F112" s="25">
        <f t="shared" si="40"/>
        <v>0</v>
      </c>
      <c r="G112" s="25"/>
      <c r="H112" s="26"/>
      <c r="I112" s="25"/>
      <c r="J112" s="25"/>
      <c r="K112" s="25"/>
      <c r="L112" s="25"/>
      <c r="M112" s="25">
        <f t="shared" si="41"/>
        <v>0</v>
      </c>
      <c r="U112" s="11">
        <f t="shared" si="28"/>
        <v>0</v>
      </c>
      <c r="V112" s="11"/>
      <c r="AO112" s="11">
        <f t="shared" si="42"/>
        <v>0</v>
      </c>
      <c r="AV112">
        <v>0</v>
      </c>
      <c r="AW112" s="11">
        <f t="shared" si="51"/>
        <v>0</v>
      </c>
      <c r="AY112" s="11">
        <f t="shared" si="55"/>
        <v>2506.02448</v>
      </c>
      <c r="BA112" s="1">
        <v>0</v>
      </c>
      <c r="BB112">
        <v>0</v>
      </c>
      <c r="BC112" s="11">
        <f t="shared" si="46"/>
        <v>0</v>
      </c>
      <c r="BD112" s="11"/>
      <c r="BE112" s="11">
        <f t="shared" si="39"/>
        <v>0</v>
      </c>
      <c r="BF112" s="11">
        <f t="shared" si="35"/>
        <v>16230562.516449999</v>
      </c>
      <c r="BG112">
        <f t="shared" si="36"/>
        <v>8935443.2468955219</v>
      </c>
      <c r="BH112" s="11">
        <f t="shared" si="37"/>
        <v>55.053195093141547</v>
      </c>
      <c r="BR112">
        <v>5466384</v>
      </c>
      <c r="BS112">
        <f t="shared" si="52"/>
        <v>4701090.24</v>
      </c>
      <c r="BT112">
        <f t="shared" si="53"/>
        <v>2322761.6766816</v>
      </c>
      <c r="BU112">
        <f t="shared" si="54"/>
        <v>2194945.8428937597</v>
      </c>
      <c r="BW112" s="11">
        <f t="shared" si="43"/>
        <v>2322761.6766816</v>
      </c>
      <c r="BZ112" s="28">
        <f t="shared" si="50"/>
        <v>20</v>
      </c>
      <c r="CA112" s="11">
        <f t="shared" si="49"/>
        <v>116.13808383407999</v>
      </c>
      <c r="CB112">
        <f t="shared" si="47"/>
        <v>2250000</v>
      </c>
      <c r="CJ112">
        <v>451200</v>
      </c>
      <c r="CK112">
        <v>26400</v>
      </c>
    </row>
    <row r="113" spans="1:90" x14ac:dyDescent="0.25">
      <c r="A113" s="25">
        <f t="shared" si="44"/>
        <v>1688</v>
      </c>
      <c r="B113" s="25"/>
      <c r="C113" s="25"/>
      <c r="D113" s="25"/>
      <c r="E113" s="25"/>
      <c r="F113" s="25">
        <f t="shared" si="40"/>
        <v>0</v>
      </c>
      <c r="G113" s="25"/>
      <c r="H113" s="26"/>
      <c r="I113" s="25"/>
      <c r="J113" s="25"/>
      <c r="K113" s="25"/>
      <c r="L113" s="25"/>
      <c r="M113" s="25">
        <f t="shared" si="41"/>
        <v>0</v>
      </c>
      <c r="U113" s="11">
        <f t="shared" si="28"/>
        <v>0</v>
      </c>
      <c r="V113" s="11"/>
      <c r="AO113" s="11">
        <f t="shared" si="42"/>
        <v>0</v>
      </c>
      <c r="AV113">
        <v>25360</v>
      </c>
      <c r="AW113" s="11">
        <f t="shared" si="51"/>
        <v>12530.1224</v>
      </c>
      <c r="AY113" s="11">
        <f t="shared" si="55"/>
        <v>2506.02448</v>
      </c>
      <c r="BA113" s="1">
        <v>0</v>
      </c>
      <c r="BB113">
        <v>0</v>
      </c>
      <c r="BC113" s="11">
        <f t="shared" si="46"/>
        <v>0</v>
      </c>
      <c r="BD113" s="11"/>
      <c r="BE113" s="11">
        <f t="shared" si="39"/>
        <v>0</v>
      </c>
      <c r="BF113" s="11">
        <f t="shared" si="35"/>
        <v>16243092.63885</v>
      </c>
      <c r="BG113">
        <f t="shared" si="36"/>
        <v>8935443.2468955219</v>
      </c>
      <c r="BH113" s="11">
        <f t="shared" si="37"/>
        <v>55.010726378078125</v>
      </c>
      <c r="BR113">
        <v>7342662</v>
      </c>
      <c r="BS113">
        <f t="shared" si="52"/>
        <v>6314689.3200000003</v>
      </c>
      <c r="BT113">
        <f t="shared" si="53"/>
        <v>3120024.8461187999</v>
      </c>
      <c r="BU113">
        <f t="shared" si="54"/>
        <v>2281820.71522464</v>
      </c>
      <c r="BW113" s="11">
        <f t="shared" si="43"/>
        <v>3132554.9685188001</v>
      </c>
      <c r="BZ113" s="28">
        <f t="shared" si="50"/>
        <v>20</v>
      </c>
      <c r="CA113" s="11">
        <f t="shared" si="49"/>
        <v>156.62774842593998</v>
      </c>
      <c r="CB113">
        <f t="shared" si="47"/>
        <v>2250000</v>
      </c>
      <c r="CJ113">
        <v>593600</v>
      </c>
      <c r="CK113">
        <f>87200+80000+41600</f>
        <v>208800</v>
      </c>
    </row>
    <row r="114" spans="1:90" x14ac:dyDescent="0.25">
      <c r="A114" s="25">
        <f t="shared" si="44"/>
        <v>1689</v>
      </c>
      <c r="B114" s="25"/>
      <c r="C114" s="25"/>
      <c r="D114" s="25"/>
      <c r="E114" s="25"/>
      <c r="F114" s="25">
        <f t="shared" si="40"/>
        <v>0</v>
      </c>
      <c r="G114" s="25"/>
      <c r="H114" s="26"/>
      <c r="I114" s="25"/>
      <c r="J114" s="25"/>
      <c r="K114" s="25"/>
      <c r="L114" s="25"/>
      <c r="M114" s="25">
        <f t="shared" si="41"/>
        <v>0</v>
      </c>
      <c r="U114" s="11">
        <f t="shared" si="28"/>
        <v>0</v>
      </c>
      <c r="V114" s="11"/>
      <c r="AO114" s="11">
        <f t="shared" si="42"/>
        <v>0</v>
      </c>
      <c r="AV114">
        <v>0</v>
      </c>
      <c r="AW114" s="11">
        <f t="shared" si="51"/>
        <v>0</v>
      </c>
      <c r="AY114" s="11">
        <f t="shared" si="55"/>
        <v>2506.02448</v>
      </c>
      <c r="BA114" s="1">
        <v>0</v>
      </c>
      <c r="BB114">
        <v>0</v>
      </c>
      <c r="BC114" s="11">
        <f t="shared" si="46"/>
        <v>0</v>
      </c>
      <c r="BD114" s="11"/>
      <c r="BE114" s="11">
        <f t="shared" si="39"/>
        <v>0</v>
      </c>
      <c r="BF114" s="11">
        <f t="shared" si="35"/>
        <v>16243092.63885</v>
      </c>
      <c r="BG114">
        <f t="shared" si="36"/>
        <v>8935443.2468955219</v>
      </c>
      <c r="BH114" s="11">
        <f t="shared" si="37"/>
        <v>55.010726378078125</v>
      </c>
      <c r="BR114">
        <v>6323338</v>
      </c>
      <c r="BS114">
        <f t="shared" si="52"/>
        <v>5438070.6799999997</v>
      </c>
      <c r="BT114">
        <f t="shared" si="53"/>
        <v>2686896.3422811995</v>
      </c>
      <c r="BU114">
        <f t="shared" si="54"/>
        <v>2449027.32681076</v>
      </c>
      <c r="BW114" s="11">
        <f t="shared" si="43"/>
        <v>2686896.3422811995</v>
      </c>
      <c r="BZ114" s="28">
        <f t="shared" si="50"/>
        <v>20</v>
      </c>
      <c r="CA114" s="11">
        <f t="shared" si="49"/>
        <v>134.34481711405999</v>
      </c>
      <c r="CB114">
        <f t="shared" si="47"/>
        <v>2250000</v>
      </c>
      <c r="CJ114">
        <v>31200</v>
      </c>
      <c r="CK114">
        <v>19200</v>
      </c>
    </row>
    <row r="115" spans="1:90" x14ac:dyDescent="0.25">
      <c r="A115" s="25">
        <f t="shared" si="44"/>
        <v>1690</v>
      </c>
      <c r="B115" s="25"/>
      <c r="C115" s="25"/>
      <c r="D115" s="25"/>
      <c r="E115" s="25"/>
      <c r="F115" s="25">
        <f t="shared" si="40"/>
        <v>0</v>
      </c>
      <c r="G115" s="25"/>
      <c r="H115" s="26"/>
      <c r="I115" s="25"/>
      <c r="J115" s="25"/>
      <c r="K115" s="25"/>
      <c r="L115" s="25"/>
      <c r="M115" s="25">
        <f t="shared" si="41"/>
        <v>0</v>
      </c>
      <c r="U115" s="11">
        <f t="shared" si="28"/>
        <v>0</v>
      </c>
      <c r="V115" s="11"/>
      <c r="AO115" s="11">
        <f t="shared" si="42"/>
        <v>0</v>
      </c>
      <c r="AV115">
        <v>0</v>
      </c>
      <c r="AW115" s="11">
        <f t="shared" si="51"/>
        <v>0</v>
      </c>
      <c r="AY115" s="11">
        <f t="shared" si="55"/>
        <v>2566.5999139999999</v>
      </c>
      <c r="BA115" s="1">
        <v>0</v>
      </c>
      <c r="BB115">
        <v>0</v>
      </c>
      <c r="BC115" s="11">
        <f t="shared" si="46"/>
        <v>0</v>
      </c>
      <c r="BD115" s="11"/>
      <c r="BE115" s="11">
        <f t="shared" si="39"/>
        <v>0</v>
      </c>
      <c r="BF115" s="11">
        <f t="shared" si="35"/>
        <v>16243092.63885</v>
      </c>
      <c r="BG115">
        <f t="shared" si="36"/>
        <v>8935443.2468955219</v>
      </c>
      <c r="BH115" s="11">
        <f t="shared" si="37"/>
        <v>55.010726378078125</v>
      </c>
      <c r="BR115">
        <v>4335725</v>
      </c>
      <c r="BS115">
        <f t="shared" si="52"/>
        <v>3728723.5</v>
      </c>
      <c r="BT115">
        <f t="shared" si="53"/>
        <v>1842324.9941149999</v>
      </c>
      <c r="BU115">
        <f t="shared" si="54"/>
        <v>2296154.45387884</v>
      </c>
      <c r="BW115" s="11">
        <f t="shared" si="43"/>
        <v>1842324.9941149999</v>
      </c>
      <c r="BZ115" s="28">
        <f t="shared" si="50"/>
        <v>20</v>
      </c>
      <c r="CA115" s="11">
        <f t="shared" si="49"/>
        <v>92.116249705749993</v>
      </c>
      <c r="CB115">
        <f t="shared" si="47"/>
        <v>2250000</v>
      </c>
    </row>
    <row r="116" spans="1:90" x14ac:dyDescent="0.25">
      <c r="A116" s="25">
        <f t="shared" si="44"/>
        <v>1691</v>
      </c>
      <c r="B116" s="25"/>
      <c r="C116" s="25"/>
      <c r="D116" s="25"/>
      <c r="E116" s="25"/>
      <c r="F116" s="25">
        <f t="shared" si="40"/>
        <v>0</v>
      </c>
      <c r="G116" s="25"/>
      <c r="H116" s="26"/>
      <c r="I116" s="25"/>
      <c r="J116" s="25"/>
      <c r="K116" s="25"/>
      <c r="L116" s="25"/>
      <c r="M116" s="25">
        <f t="shared" si="41"/>
        <v>0</v>
      </c>
      <c r="U116" s="11">
        <f t="shared" si="28"/>
        <v>0</v>
      </c>
      <c r="V116" s="11"/>
      <c r="AO116" s="11">
        <f t="shared" si="42"/>
        <v>0</v>
      </c>
      <c r="AV116">
        <v>0</v>
      </c>
      <c r="AW116" s="11">
        <f t="shared" si="51"/>
        <v>0</v>
      </c>
      <c r="AY116" s="11">
        <f t="shared" si="55"/>
        <v>862.97759399999995</v>
      </c>
      <c r="BA116" s="1">
        <v>0</v>
      </c>
      <c r="BB116">
        <v>0</v>
      </c>
      <c r="BC116" s="11">
        <f t="shared" si="46"/>
        <v>0</v>
      </c>
      <c r="BD116" s="11"/>
      <c r="BE116" s="11">
        <f t="shared" si="39"/>
        <v>0</v>
      </c>
      <c r="BF116" s="11">
        <f t="shared" si="35"/>
        <v>16243092.63885</v>
      </c>
      <c r="BG116">
        <f t="shared" si="36"/>
        <v>8935443.2468955219</v>
      </c>
      <c r="BH116" s="11">
        <f t="shared" si="37"/>
        <v>55.010726378078125</v>
      </c>
      <c r="BR116">
        <v>5349578</v>
      </c>
      <c r="BS116">
        <f t="shared" si="52"/>
        <v>4600637.08</v>
      </c>
      <c r="BT116">
        <f t="shared" si="53"/>
        <v>2273128.7748571998</v>
      </c>
      <c r="BU116">
        <f t="shared" si="54"/>
        <v>2021607.0783412799</v>
      </c>
      <c r="BW116" s="11">
        <f t="shared" si="43"/>
        <v>2273128.7748571998</v>
      </c>
      <c r="BZ116" s="28">
        <f t="shared" si="50"/>
        <v>20</v>
      </c>
      <c r="CA116" s="11">
        <f t="shared" si="49"/>
        <v>113.65643874285999</v>
      </c>
      <c r="CB116">
        <f t="shared" si="47"/>
        <v>2250000</v>
      </c>
      <c r="CJ116">
        <v>53600</v>
      </c>
      <c r="CK116">
        <v>93600</v>
      </c>
    </row>
    <row r="117" spans="1:90" x14ac:dyDescent="0.25">
      <c r="A117" s="25">
        <f t="shared" si="44"/>
        <v>1692</v>
      </c>
      <c r="B117" s="25"/>
      <c r="C117" s="25"/>
      <c r="D117" s="25"/>
      <c r="E117" s="25"/>
      <c r="F117" s="25">
        <f t="shared" si="40"/>
        <v>0</v>
      </c>
      <c r="G117" s="25"/>
      <c r="H117" s="26"/>
      <c r="I117" s="25"/>
      <c r="J117" s="25"/>
      <c r="K117" s="25"/>
      <c r="L117" s="25"/>
      <c r="M117" s="25">
        <f t="shared" si="41"/>
        <v>0</v>
      </c>
      <c r="U117" s="11">
        <f t="shared" si="28"/>
        <v>0</v>
      </c>
      <c r="V117" s="11"/>
      <c r="AO117" s="11">
        <f t="shared" si="42"/>
        <v>0</v>
      </c>
      <c r="AV117">
        <v>613</v>
      </c>
      <c r="AW117" s="11">
        <f t="shared" si="51"/>
        <v>302.87716999999998</v>
      </c>
      <c r="AY117" s="11">
        <f t="shared" si="55"/>
        <v>10791.222053999998</v>
      </c>
      <c r="BA117" s="1">
        <v>0</v>
      </c>
      <c r="BB117">
        <v>0</v>
      </c>
      <c r="BC117" s="11">
        <f t="shared" si="46"/>
        <v>0</v>
      </c>
      <c r="BD117" s="11"/>
      <c r="BE117" s="11">
        <f t="shared" si="39"/>
        <v>0</v>
      </c>
      <c r="BF117" s="11">
        <f t="shared" si="35"/>
        <v>16243395.51602</v>
      </c>
      <c r="BG117">
        <f t="shared" si="36"/>
        <v>8935443.2468955219</v>
      </c>
      <c r="BH117" s="11">
        <f t="shared" si="37"/>
        <v>55.009700638533168</v>
      </c>
      <c r="BR117">
        <v>3667530</v>
      </c>
      <c r="BS117">
        <f t="shared" si="52"/>
        <v>3154075.8</v>
      </c>
      <c r="BT117">
        <f t="shared" si="53"/>
        <v>1558397.3120219999</v>
      </c>
      <c r="BU117">
        <f t="shared" si="54"/>
        <v>2215025.3996142396</v>
      </c>
      <c r="BW117" s="11">
        <f t="shared" si="43"/>
        <v>1558700.1891919998</v>
      </c>
      <c r="BZ117" s="28">
        <f t="shared" si="50"/>
        <v>20</v>
      </c>
      <c r="CA117" s="11">
        <f t="shared" si="49"/>
        <v>77.935009459599996</v>
      </c>
      <c r="CB117">
        <f t="shared" si="47"/>
        <v>2250000</v>
      </c>
      <c r="CJ117">
        <v>85600</v>
      </c>
    </row>
    <row r="118" spans="1:90" x14ac:dyDescent="0.25">
      <c r="A118" s="25">
        <f t="shared" si="44"/>
        <v>1693</v>
      </c>
      <c r="B118" s="25"/>
      <c r="C118" s="25"/>
      <c r="D118" s="25"/>
      <c r="E118" s="25"/>
      <c r="F118" s="25">
        <f t="shared" si="40"/>
        <v>0</v>
      </c>
      <c r="G118" s="25"/>
      <c r="H118" s="26"/>
      <c r="I118" s="25"/>
      <c r="J118" s="25"/>
      <c r="K118" s="25"/>
      <c r="L118" s="25"/>
      <c r="M118" s="25">
        <f t="shared" si="41"/>
        <v>0</v>
      </c>
      <c r="U118" s="11">
        <f t="shared" si="28"/>
        <v>0</v>
      </c>
      <c r="V118" s="11"/>
      <c r="AO118" s="11">
        <f t="shared" si="42"/>
        <v>0</v>
      </c>
      <c r="AV118">
        <v>8120</v>
      </c>
      <c r="AW118" s="11">
        <f t="shared" si="51"/>
        <v>4012.0107999999996</v>
      </c>
      <c r="AY118" s="11">
        <f t="shared" si="55"/>
        <v>23149.994041999998</v>
      </c>
      <c r="BA118" s="1">
        <v>0</v>
      </c>
      <c r="BB118">
        <v>0</v>
      </c>
      <c r="BC118" s="11">
        <f t="shared" si="46"/>
        <v>0</v>
      </c>
      <c r="BD118" s="11"/>
      <c r="BE118" s="11">
        <f t="shared" si="39"/>
        <v>0</v>
      </c>
      <c r="BF118" s="11">
        <f t="shared" si="35"/>
        <v>16247407.52682</v>
      </c>
      <c r="BG118">
        <f t="shared" si="36"/>
        <v>8935443.2468955219</v>
      </c>
      <c r="BH118" s="11">
        <f t="shared" si="37"/>
        <v>54.996116962940476</v>
      </c>
      <c r="BR118">
        <v>4112065</v>
      </c>
      <c r="BS118">
        <f t="shared" si="52"/>
        <v>3536375.9</v>
      </c>
      <c r="BT118">
        <f t="shared" si="53"/>
        <v>1747287.9684309999</v>
      </c>
      <c r="BU118">
        <f t="shared" si="54"/>
        <v>2799569.3946852395</v>
      </c>
      <c r="BW118" s="11">
        <f t="shared" si="43"/>
        <v>1751299.9792309999</v>
      </c>
      <c r="BZ118" s="28">
        <f t="shared" si="50"/>
        <v>20</v>
      </c>
      <c r="CA118" s="11">
        <f t="shared" si="49"/>
        <v>87.564998961549989</v>
      </c>
      <c r="CB118">
        <f t="shared" si="47"/>
        <v>2250000</v>
      </c>
      <c r="CK118">
        <v>33600</v>
      </c>
    </row>
    <row r="119" spans="1:90" x14ac:dyDescent="0.25">
      <c r="A119" s="25">
        <f t="shared" si="44"/>
        <v>1694</v>
      </c>
      <c r="B119" s="25"/>
      <c r="C119" s="25"/>
      <c r="D119" s="25"/>
      <c r="E119" s="25"/>
      <c r="F119" s="25">
        <f t="shared" si="40"/>
        <v>0</v>
      </c>
      <c r="G119" s="25"/>
      <c r="H119" s="26"/>
      <c r="I119" s="25"/>
      <c r="J119" s="25"/>
      <c r="K119" s="25"/>
      <c r="L119" s="25"/>
      <c r="M119" s="25">
        <f t="shared" si="41"/>
        <v>0</v>
      </c>
      <c r="U119" s="11">
        <f t="shared" si="28"/>
        <v>0</v>
      </c>
      <c r="V119" s="11"/>
      <c r="AO119" s="11">
        <f t="shared" si="42"/>
        <v>0</v>
      </c>
      <c r="AV119">
        <v>100470</v>
      </c>
      <c r="AW119" s="11">
        <f t="shared" si="51"/>
        <v>49641.222299999994</v>
      </c>
      <c r="AY119" s="11">
        <f t="shared" si="55"/>
        <v>23149.994041999998</v>
      </c>
      <c r="BA119" s="41">
        <v>723.1</v>
      </c>
      <c r="BB119">
        <v>2752</v>
      </c>
      <c r="BC119" s="11">
        <f t="shared" si="46"/>
        <v>1359.73568</v>
      </c>
      <c r="BD119" s="11"/>
      <c r="BE119" s="11">
        <f t="shared" si="39"/>
        <v>2719.47136</v>
      </c>
      <c r="BF119" s="11">
        <f t="shared" si="35"/>
        <v>16297048.749120001</v>
      </c>
      <c r="BG119">
        <f t="shared" si="36"/>
        <v>8936802.9825755227</v>
      </c>
      <c r="BH119" s="11">
        <f t="shared" si="37"/>
        <v>54.836940848312111</v>
      </c>
      <c r="BR119">
        <v>8599290</v>
      </c>
      <c r="BS119">
        <f t="shared" si="52"/>
        <v>7395389.3999999994</v>
      </c>
      <c r="BT119">
        <f t="shared" si="53"/>
        <v>3653987.9486459997</v>
      </c>
      <c r="BU119">
        <f t="shared" si="54"/>
        <v>2911936.4215778001</v>
      </c>
      <c r="BW119" s="11">
        <f t="shared" si="43"/>
        <v>3703629.1709459997</v>
      </c>
      <c r="BZ119" s="28">
        <f t="shared" si="50"/>
        <v>20</v>
      </c>
      <c r="CA119" s="11">
        <f t="shared" si="49"/>
        <v>185.1814585473</v>
      </c>
      <c r="CB119">
        <f t="shared" si="47"/>
        <v>2250000</v>
      </c>
      <c r="CJ119">
        <v>8800</v>
      </c>
    </row>
    <row r="120" spans="1:90" x14ac:dyDescent="0.25">
      <c r="A120" s="25">
        <f t="shared" si="44"/>
        <v>1695</v>
      </c>
      <c r="B120" s="25"/>
      <c r="C120" s="25"/>
      <c r="D120" s="25"/>
      <c r="E120" s="25"/>
      <c r="F120" s="25">
        <f t="shared" si="40"/>
        <v>0</v>
      </c>
      <c r="G120" s="25"/>
      <c r="H120" s="26"/>
      <c r="I120" s="25"/>
      <c r="J120" s="25"/>
      <c r="K120" s="25"/>
      <c r="L120" s="25"/>
      <c r="M120" s="25">
        <f t="shared" si="41"/>
        <v>0</v>
      </c>
      <c r="U120" s="11">
        <f t="shared" si="28"/>
        <v>0</v>
      </c>
      <c r="V120" s="11"/>
      <c r="AO120" s="11">
        <f t="shared" si="42"/>
        <v>0</v>
      </c>
      <c r="AV120">
        <v>125066</v>
      </c>
      <c r="AW120" s="11">
        <f t="shared" si="51"/>
        <v>61793.859939999995</v>
      </c>
      <c r="AY120" s="11">
        <f t="shared" si="55"/>
        <v>23089.418607999996</v>
      </c>
      <c r="BA120" s="41">
        <v>27880.3</v>
      </c>
      <c r="BB120">
        <v>92160</v>
      </c>
      <c r="BC120" s="11">
        <f t="shared" si="46"/>
        <v>45535.3344</v>
      </c>
      <c r="BD120" s="11"/>
      <c r="BE120" s="11">
        <f t="shared" si="39"/>
        <v>91070.668799999999</v>
      </c>
      <c r="BF120" s="11">
        <f t="shared" si="35"/>
        <v>16358842.609060001</v>
      </c>
      <c r="BG120">
        <f t="shared" si="36"/>
        <v>8982338.3169755228</v>
      </c>
      <c r="BH120" s="11">
        <f t="shared" si="37"/>
        <v>54.908152927645645</v>
      </c>
      <c r="BR120">
        <v>11214050</v>
      </c>
      <c r="BS120">
        <f t="shared" si="52"/>
        <v>9644083</v>
      </c>
      <c r="BT120">
        <f t="shared" si="53"/>
        <v>4765044.9694699999</v>
      </c>
      <c r="BU120">
        <f t="shared" si="54"/>
        <v>3442596.2162373997</v>
      </c>
      <c r="BW120" s="11">
        <f t="shared" si="43"/>
        <v>4826838.8294099998</v>
      </c>
      <c r="BZ120" s="28">
        <f t="shared" si="50"/>
        <v>20</v>
      </c>
      <c r="CA120" s="11">
        <f t="shared" si="49"/>
        <v>241.34194147049999</v>
      </c>
      <c r="CB120">
        <f t="shared" si="47"/>
        <v>2250000</v>
      </c>
      <c r="CJ120">
        <v>56000</v>
      </c>
      <c r="CK120">
        <v>209600</v>
      </c>
    </row>
    <row r="121" spans="1:90" x14ac:dyDescent="0.25">
      <c r="A121" s="25">
        <f t="shared" si="44"/>
        <v>1696</v>
      </c>
      <c r="B121" s="25"/>
      <c r="C121" s="25"/>
      <c r="D121" s="25"/>
      <c r="E121" s="25"/>
      <c r="F121" s="25">
        <f t="shared" si="40"/>
        <v>0</v>
      </c>
      <c r="G121" s="25"/>
      <c r="H121" s="26"/>
      <c r="I121" s="25"/>
      <c r="J121" s="25"/>
      <c r="K121" s="25"/>
      <c r="L121" s="25"/>
      <c r="M121" s="25">
        <f t="shared" si="41"/>
        <v>0</v>
      </c>
      <c r="U121" s="11">
        <f t="shared" si="28"/>
        <v>0</v>
      </c>
      <c r="V121" s="11"/>
      <c r="AO121" s="11">
        <f t="shared" si="42"/>
        <v>0</v>
      </c>
      <c r="AV121">
        <v>0</v>
      </c>
      <c r="AW121" s="11">
        <f t="shared" si="51"/>
        <v>0</v>
      </c>
      <c r="AY121" s="11">
        <f t="shared" si="55"/>
        <v>29139.402431000002</v>
      </c>
      <c r="BA121" s="41">
        <v>20380.8</v>
      </c>
      <c r="BB121">
        <v>62567</v>
      </c>
      <c r="BC121" s="11">
        <f t="shared" si="46"/>
        <v>30913.729029999999</v>
      </c>
      <c r="BD121" s="11"/>
      <c r="BE121" s="11">
        <f t="shared" si="39"/>
        <v>61827.458059999997</v>
      </c>
      <c r="BF121" s="11">
        <f t="shared" si="35"/>
        <v>16358842.609060001</v>
      </c>
      <c r="BG121">
        <f t="shared" si="36"/>
        <v>9013252.0460055228</v>
      </c>
      <c r="BH121" s="11">
        <f t="shared" si="37"/>
        <v>55.097125520443136</v>
      </c>
      <c r="BR121">
        <v>6671800</v>
      </c>
      <c r="BS121">
        <f t="shared" si="52"/>
        <v>5737748</v>
      </c>
      <c r="BT121">
        <f t="shared" si="53"/>
        <v>2834963.9093199996</v>
      </c>
      <c r="BU121">
        <f t="shared" si="54"/>
        <v>3480511.170922</v>
      </c>
      <c r="BW121" s="11">
        <f t="shared" si="43"/>
        <v>2834963.9093199996</v>
      </c>
      <c r="BZ121" s="28">
        <f t="shared" si="50"/>
        <v>20</v>
      </c>
      <c r="CA121" s="11">
        <f t="shared" si="49"/>
        <v>141.74819546599997</v>
      </c>
      <c r="CB121">
        <f t="shared" si="47"/>
        <v>2250000</v>
      </c>
      <c r="CK121">
        <v>560000</v>
      </c>
    </row>
    <row r="122" spans="1:90" x14ac:dyDescent="0.25">
      <c r="A122" s="25">
        <f t="shared" si="44"/>
        <v>1697</v>
      </c>
      <c r="B122" s="25"/>
      <c r="C122" s="25"/>
      <c r="D122" s="25"/>
      <c r="E122" s="25"/>
      <c r="F122" s="25">
        <f t="shared" si="40"/>
        <v>0</v>
      </c>
      <c r="G122" s="25"/>
      <c r="H122" s="26"/>
      <c r="I122" s="25"/>
      <c r="J122" s="25"/>
      <c r="K122" s="25"/>
      <c r="L122" s="25"/>
      <c r="M122" s="25">
        <f t="shared" si="41"/>
        <v>0</v>
      </c>
      <c r="U122" s="11">
        <f t="shared" si="28"/>
        <v>0</v>
      </c>
      <c r="V122" s="11"/>
      <c r="AO122" s="11">
        <f t="shared" si="42"/>
        <v>0</v>
      </c>
      <c r="AV122">
        <v>0</v>
      </c>
      <c r="AW122" s="11">
        <f t="shared" si="51"/>
        <v>0</v>
      </c>
      <c r="AY122" s="11">
        <f t="shared" si="55"/>
        <v>26063.543954000001</v>
      </c>
      <c r="BA122" s="41">
        <v>0</v>
      </c>
      <c r="BB122">
        <v>0</v>
      </c>
      <c r="BC122" s="11">
        <f t="shared" si="46"/>
        <v>0</v>
      </c>
      <c r="BD122" s="11"/>
      <c r="BE122" s="11">
        <f t="shared" si="39"/>
        <v>0</v>
      </c>
      <c r="BF122" s="11">
        <f t="shared" si="35"/>
        <v>16358842.609060001</v>
      </c>
      <c r="BG122">
        <f t="shared" si="36"/>
        <v>9013252.0460055228</v>
      </c>
      <c r="BH122" s="11">
        <f t="shared" si="37"/>
        <v>55.097125520443136</v>
      </c>
      <c r="BR122">
        <v>9911800</v>
      </c>
      <c r="BS122">
        <f t="shared" si="52"/>
        <v>8524148</v>
      </c>
      <c r="BT122">
        <f t="shared" si="53"/>
        <v>4211696.2853199998</v>
      </c>
      <c r="BU122">
        <f t="shared" si="54"/>
        <v>3324192.9827273996</v>
      </c>
      <c r="BW122" s="11">
        <f t="shared" si="43"/>
        <v>4211696.2853199998</v>
      </c>
      <c r="BZ122" s="28">
        <f t="shared" si="50"/>
        <v>20</v>
      </c>
      <c r="CA122" s="11">
        <f t="shared" si="49"/>
        <v>210.584814266</v>
      </c>
      <c r="CB122">
        <f t="shared" si="47"/>
        <v>2250000</v>
      </c>
      <c r="CK122">
        <v>399200</v>
      </c>
    </row>
    <row r="123" spans="1:90" x14ac:dyDescent="0.25">
      <c r="A123" s="25">
        <f t="shared" si="44"/>
        <v>1698</v>
      </c>
      <c r="B123" s="25"/>
      <c r="C123" s="25"/>
      <c r="D123" s="25"/>
      <c r="E123" s="25"/>
      <c r="F123" s="25">
        <f t="shared" si="40"/>
        <v>0</v>
      </c>
      <c r="G123" s="25"/>
      <c r="H123" s="26"/>
      <c r="I123" s="25"/>
      <c r="J123" s="25"/>
      <c r="K123" s="25"/>
      <c r="L123" s="25"/>
      <c r="M123" s="25">
        <f t="shared" si="41"/>
        <v>0</v>
      </c>
      <c r="U123" s="11">
        <f t="shared" si="28"/>
        <v>0</v>
      </c>
      <c r="V123" s="11"/>
      <c r="AO123" s="11">
        <f>SUM(AG123:AI123)</f>
        <v>0</v>
      </c>
      <c r="AV123">
        <f>138687/2</f>
        <v>69343.5</v>
      </c>
      <c r="AW123" s="11">
        <f t="shared" si="51"/>
        <v>34261.929915000001</v>
      </c>
      <c r="AY123" s="11">
        <f t="shared" si="55"/>
        <v>24583.744404000001</v>
      </c>
      <c r="BA123" s="41">
        <v>0</v>
      </c>
      <c r="BB123">
        <v>0</v>
      </c>
      <c r="BC123" s="11">
        <f t="shared" si="46"/>
        <v>0</v>
      </c>
      <c r="BD123" s="11"/>
      <c r="BE123" s="11">
        <f t="shared" si="39"/>
        <v>0</v>
      </c>
      <c r="BF123" s="11">
        <f t="shared" si="35"/>
        <v>16393104.538975</v>
      </c>
      <c r="BG123">
        <f t="shared" si="36"/>
        <v>9013252.0460055228</v>
      </c>
      <c r="BH123" s="11">
        <f t="shared" si="37"/>
        <v>54.981971380566129</v>
      </c>
      <c r="BR123">
        <v>4558210</v>
      </c>
      <c r="BS123">
        <f t="shared" si="52"/>
        <v>3920060.6</v>
      </c>
      <c r="BT123">
        <f t="shared" si="53"/>
        <v>1936862.7418539999</v>
      </c>
      <c r="BU123">
        <f t="shared" si="54"/>
        <v>2931319.7936301199</v>
      </c>
      <c r="BW123" s="11">
        <f t="shared" si="43"/>
        <v>1971124.6717689999</v>
      </c>
      <c r="BZ123" s="28">
        <f t="shared" si="50"/>
        <v>20</v>
      </c>
      <c r="CA123" s="11">
        <f t="shared" si="49"/>
        <v>98.556233588449999</v>
      </c>
      <c r="CB123">
        <f t="shared" si="47"/>
        <v>2250000</v>
      </c>
      <c r="CJ123">
        <v>198400</v>
      </c>
      <c r="CK123">
        <v>172000</v>
      </c>
    </row>
    <row r="124" spans="1:90" x14ac:dyDescent="0.25">
      <c r="A124" s="25">
        <f t="shared" si="44"/>
        <v>1699</v>
      </c>
      <c r="B124" s="25"/>
      <c r="C124" s="25"/>
      <c r="D124" s="25"/>
      <c r="E124" s="25"/>
      <c r="F124" s="25">
        <f t="shared" si="40"/>
        <v>0</v>
      </c>
      <c r="G124" s="25"/>
      <c r="H124" s="26"/>
      <c r="I124" s="25"/>
      <c r="J124" s="25"/>
      <c r="K124" s="25"/>
      <c r="L124" s="25"/>
      <c r="M124" s="25">
        <f t="shared" si="41"/>
        <v>0</v>
      </c>
      <c r="U124" s="11">
        <f t="shared" si="28"/>
        <v>0</v>
      </c>
      <c r="V124" s="11"/>
      <c r="AO124" s="11">
        <f>SUM(AG124:AI124)</f>
        <v>0</v>
      </c>
      <c r="AV124">
        <f>138687/2</f>
        <v>69343.5</v>
      </c>
      <c r="AW124" s="11">
        <f t="shared" si="51"/>
        <v>34261.929915000001</v>
      </c>
      <c r="AY124" s="11">
        <f t="shared" si="55"/>
        <v>24583.744404000001</v>
      </c>
      <c r="BA124" s="41">
        <v>13293.8</v>
      </c>
      <c r="BB124">
        <v>59876</v>
      </c>
      <c r="BC124" s="11">
        <f t="shared" si="46"/>
        <v>29584.132839999998</v>
      </c>
      <c r="BD124" s="11"/>
      <c r="BE124" s="11">
        <f t="shared" si="39"/>
        <v>59168.265679999997</v>
      </c>
      <c r="BF124" s="11">
        <f t="shared" si="35"/>
        <v>16427366.46889</v>
      </c>
      <c r="BG124">
        <f t="shared" si="36"/>
        <v>9042836.1788455229</v>
      </c>
      <c r="BH124" s="11">
        <f t="shared" si="37"/>
        <v>55.047388124997184</v>
      </c>
      <c r="BR124">
        <v>6759895</v>
      </c>
      <c r="BS124">
        <f t="shared" si="52"/>
        <v>5813509.7000000002</v>
      </c>
      <c r="BT124">
        <f t="shared" si="53"/>
        <v>2872397.007673</v>
      </c>
      <c r="BU124">
        <f t="shared" si="54"/>
        <v>2955408.7647076496</v>
      </c>
      <c r="BW124" s="11">
        <f t="shared" si="43"/>
        <v>2906658.9375880002</v>
      </c>
      <c r="BZ124" s="28">
        <f t="shared" si="50"/>
        <v>20</v>
      </c>
      <c r="CA124" s="11">
        <f t="shared" si="49"/>
        <v>145.3329468794</v>
      </c>
      <c r="CB124">
        <f t="shared" si="47"/>
        <v>2250000</v>
      </c>
      <c r="CJ124">
        <v>94400</v>
      </c>
      <c r="CK124">
        <v>232400</v>
      </c>
    </row>
    <row r="125" spans="1:90" x14ac:dyDescent="0.25">
      <c r="A125" s="25">
        <f t="shared" si="44"/>
        <v>1700</v>
      </c>
      <c r="B125" s="25"/>
      <c r="C125" s="25"/>
      <c r="D125" s="25"/>
      <c r="E125" s="25"/>
      <c r="F125" s="25">
        <f t="shared" si="40"/>
        <v>0</v>
      </c>
      <c r="G125" s="25"/>
      <c r="H125" s="26"/>
      <c r="I125" s="25"/>
      <c r="J125" s="25"/>
      <c r="K125" s="25"/>
      <c r="L125" s="25"/>
      <c r="M125" s="25">
        <f t="shared" si="41"/>
        <v>0</v>
      </c>
      <c r="U125" s="11">
        <f>SUM(R125:T125)</f>
        <v>0</v>
      </c>
      <c r="V125" s="11"/>
      <c r="AO125" s="11">
        <f>SUM(AG125:AI125)</f>
        <v>0</v>
      </c>
      <c r="AV125">
        <v>110091</v>
      </c>
      <c r="AW125" s="11">
        <f t="shared" si="51"/>
        <v>54394.86219</v>
      </c>
      <c r="AY125" s="11">
        <f>SUM(AW123:AW127)/5</f>
        <v>24583.744404000001</v>
      </c>
      <c r="BA125" s="41">
        <v>17770.7</v>
      </c>
      <c r="BB125">
        <v>67043</v>
      </c>
      <c r="BC125" s="11">
        <f t="shared" si="46"/>
        <v>33125.275869999998</v>
      </c>
      <c r="BD125" s="11"/>
      <c r="BE125" s="11">
        <f t="shared" si="39"/>
        <v>66250.551739999995</v>
      </c>
      <c r="BF125" s="11">
        <f t="shared" si="35"/>
        <v>16481761.331080001</v>
      </c>
      <c r="BG125">
        <f t="shared" si="36"/>
        <v>9075961.454715522</v>
      </c>
      <c r="BH125" s="11">
        <f t="shared" si="37"/>
        <v>55.066696285674233</v>
      </c>
      <c r="BR125">
        <v>6591114</v>
      </c>
      <c r="BS125">
        <f t="shared" si="52"/>
        <v>5668358.04</v>
      </c>
      <c r="BT125">
        <f t="shared" si="53"/>
        <v>2800679.0239836001</v>
      </c>
      <c r="BU125">
        <f t="shared" si="54"/>
        <v>2536646.2578368667</v>
      </c>
      <c r="BW125" s="11">
        <f t="shared" si="43"/>
        <v>2855073.8861735999</v>
      </c>
      <c r="BZ125" s="28">
        <f t="shared" si="50"/>
        <v>20</v>
      </c>
      <c r="CA125" s="11">
        <f t="shared" si="49"/>
        <v>142.75369430868</v>
      </c>
      <c r="CB125">
        <f t="shared" si="47"/>
        <v>2250000</v>
      </c>
      <c r="CK125">
        <v>50200</v>
      </c>
    </row>
    <row r="126" spans="1:90" x14ac:dyDescent="0.25">
      <c r="A126" s="25"/>
      <c r="B126" s="25"/>
      <c r="C126" s="25"/>
      <c r="D126" s="25"/>
      <c r="E126" s="25"/>
      <c r="F126" s="25"/>
      <c r="G126" s="25"/>
      <c r="H126" s="26"/>
      <c r="I126" s="25"/>
      <c r="J126" s="25"/>
      <c r="K126" s="25"/>
      <c r="L126" s="25"/>
      <c r="M126" s="25"/>
      <c r="CA126" s="11"/>
      <c r="CJ126">
        <f>SUM(CJ100:CJ125)</f>
        <v>5729000</v>
      </c>
      <c r="CK126">
        <f>SUM(CK100:CK125)</f>
        <v>3028200</v>
      </c>
      <c r="CL126">
        <f>CK126/CJ126</f>
        <v>0.52857392215046251</v>
      </c>
    </row>
    <row r="127" spans="1:90" x14ac:dyDescent="0.25">
      <c r="A127" s="25"/>
      <c r="B127" s="25"/>
      <c r="C127" s="25"/>
      <c r="D127" s="25"/>
      <c r="E127" s="25"/>
      <c r="F127" s="25"/>
      <c r="G127" s="25"/>
      <c r="H127" s="26"/>
      <c r="I127" s="25"/>
      <c r="J127" s="25"/>
      <c r="K127" s="25"/>
      <c r="L127" s="25"/>
      <c r="M127" s="25"/>
      <c r="CA127" s="11"/>
      <c r="CJ127">
        <f>CJ126*0.49409</f>
        <v>2830641.61</v>
      </c>
      <c r="CK127">
        <f>CK126*0.49409</f>
        <v>1496203.338</v>
      </c>
    </row>
    <row r="128" spans="1:90" x14ac:dyDescent="0.25">
      <c r="A128" s="25"/>
      <c r="B128" s="25"/>
      <c r="C128" s="25"/>
      <c r="D128" s="25"/>
      <c r="E128" s="25"/>
      <c r="F128" s="25"/>
      <c r="G128" s="25"/>
      <c r="H128" s="26"/>
      <c r="I128" s="25"/>
      <c r="J128" s="25"/>
      <c r="K128" s="25"/>
      <c r="L128" s="25"/>
      <c r="M128" s="25"/>
      <c r="CA128" s="11"/>
    </row>
    <row r="129" spans="1:79" x14ac:dyDescent="0.25">
      <c r="A129" s="25"/>
      <c r="B129" s="25"/>
      <c r="C129" s="25"/>
      <c r="D129" s="25"/>
      <c r="E129" s="25"/>
      <c r="F129" s="25"/>
      <c r="G129" s="25"/>
      <c r="H129" s="26"/>
      <c r="I129" s="25"/>
      <c r="J129" s="25"/>
      <c r="K129" s="25"/>
      <c r="L129" s="25"/>
      <c r="M129" s="25"/>
      <c r="CA129" s="11"/>
    </row>
    <row r="130" spans="1:79" x14ac:dyDescent="0.25">
      <c r="A130" s="25"/>
      <c r="B130" s="25"/>
      <c r="C130" s="25"/>
      <c r="D130" s="25"/>
      <c r="E130" s="25"/>
      <c r="F130" s="25"/>
      <c r="G130" s="25"/>
      <c r="H130" s="26"/>
      <c r="I130" s="25"/>
      <c r="J130" s="25"/>
      <c r="K130" s="25"/>
      <c r="L130" s="25"/>
      <c r="M130" s="25"/>
      <c r="CA130" s="11"/>
    </row>
    <row r="131" spans="1:79" x14ac:dyDescent="0.25">
      <c r="A131" s="25"/>
      <c r="B131" s="25"/>
      <c r="C131" s="25"/>
      <c r="D131" s="25"/>
      <c r="E131" s="25"/>
      <c r="F131" s="25"/>
      <c r="G131" s="25"/>
      <c r="H131" s="26"/>
      <c r="I131" s="25"/>
      <c r="J131" s="25"/>
      <c r="K131" s="25"/>
      <c r="L131" s="25"/>
      <c r="M131" s="25"/>
      <c r="CA131" s="11"/>
    </row>
    <row r="132" spans="1:79" x14ac:dyDescent="0.25">
      <c r="A132" s="25"/>
      <c r="B132" s="25"/>
      <c r="C132" s="25"/>
      <c r="D132" s="25"/>
      <c r="E132" s="25"/>
      <c r="F132" s="25"/>
      <c r="G132" s="25"/>
      <c r="H132" s="26"/>
      <c r="I132" s="25"/>
      <c r="J132" s="25"/>
      <c r="K132" s="25"/>
      <c r="L132" s="25"/>
      <c r="M132" s="25"/>
      <c r="CA132" s="11"/>
    </row>
    <row r="133" spans="1:79" x14ac:dyDescent="0.25">
      <c r="A133" s="25"/>
      <c r="B133" s="25"/>
      <c r="C133" s="25"/>
      <c r="D133" s="25"/>
      <c r="E133" s="25"/>
      <c r="F133" s="25"/>
      <c r="G133" s="25"/>
      <c r="H133" s="26"/>
      <c r="I133" s="25"/>
      <c r="J133" s="25"/>
      <c r="K133" s="25"/>
      <c r="L133" s="25"/>
      <c r="M133" s="25"/>
      <c r="CA133" s="11"/>
    </row>
    <row r="134" spans="1:79" x14ac:dyDescent="0.25">
      <c r="A134" s="25"/>
      <c r="B134" s="25"/>
      <c r="C134" s="25"/>
      <c r="D134" s="25"/>
      <c r="E134" s="25"/>
      <c r="F134" s="25"/>
      <c r="G134" s="25"/>
      <c r="H134" s="26"/>
      <c r="I134" s="25"/>
      <c r="J134" s="25"/>
      <c r="K134" s="25"/>
      <c r="L134" s="25"/>
      <c r="M134" s="25"/>
      <c r="CA134" s="11"/>
    </row>
    <row r="135" spans="1:79" x14ac:dyDescent="0.25">
      <c r="A135" s="25"/>
      <c r="B135" s="25"/>
      <c r="C135" s="25"/>
      <c r="D135" s="25"/>
      <c r="E135" s="25"/>
      <c r="F135" s="25"/>
      <c r="G135" s="25"/>
      <c r="H135" s="26"/>
      <c r="I135" s="25"/>
      <c r="J135" s="25"/>
      <c r="K135" s="25"/>
      <c r="L135" s="25"/>
      <c r="M135" s="25"/>
      <c r="CA135" s="11"/>
    </row>
    <row r="136" spans="1:79" x14ac:dyDescent="0.25">
      <c r="A136" s="25"/>
      <c r="B136" s="25"/>
      <c r="C136" s="25"/>
      <c r="D136" s="25"/>
      <c r="E136" s="25"/>
      <c r="F136" s="25"/>
      <c r="G136" s="25"/>
      <c r="H136" s="26"/>
      <c r="I136" s="25"/>
      <c r="J136" s="25"/>
      <c r="K136" s="25"/>
      <c r="L136" s="25"/>
      <c r="M136" s="25"/>
      <c r="CA136" s="11"/>
    </row>
    <row r="137" spans="1:79" x14ac:dyDescent="0.25">
      <c r="A137" s="25"/>
      <c r="B137" s="25"/>
      <c r="C137" s="25"/>
      <c r="D137" s="25"/>
      <c r="E137" s="25"/>
      <c r="F137" s="25"/>
      <c r="G137" s="25"/>
      <c r="H137" s="26"/>
      <c r="I137" s="25"/>
      <c r="J137" s="25"/>
      <c r="K137" s="25"/>
      <c r="L137" s="25"/>
      <c r="M137" s="25"/>
      <c r="CA137" s="11"/>
    </row>
    <row r="138" spans="1:79" x14ac:dyDescent="0.25">
      <c r="A138" s="25"/>
      <c r="B138" s="25"/>
      <c r="C138" s="25"/>
      <c r="D138" s="25"/>
      <c r="E138" s="25"/>
      <c r="F138" s="25"/>
      <c r="G138" s="25"/>
      <c r="H138" s="26"/>
      <c r="I138" s="25"/>
      <c r="J138" s="25"/>
      <c r="K138" s="25"/>
      <c r="L138" s="25"/>
      <c r="M138" s="25"/>
      <c r="CA138" s="11"/>
    </row>
    <row r="139" spans="1:79" x14ac:dyDescent="0.25">
      <c r="A139" s="25"/>
      <c r="B139" s="25"/>
      <c r="C139" s="25"/>
      <c r="D139" s="25"/>
      <c r="E139" s="25"/>
      <c r="F139" s="25"/>
      <c r="G139" s="25"/>
      <c r="H139" s="26"/>
      <c r="I139" s="25"/>
      <c r="J139" s="25"/>
      <c r="K139" s="25"/>
      <c r="L139" s="25"/>
      <c r="M139" s="25"/>
      <c r="CA139" s="11"/>
    </row>
    <row r="140" spans="1:79" x14ac:dyDescent="0.25">
      <c r="A140" s="25"/>
      <c r="B140" s="25"/>
      <c r="C140" s="25"/>
      <c r="D140" s="25"/>
      <c r="E140" s="25"/>
      <c r="F140" s="25"/>
      <c r="G140" s="25"/>
      <c r="H140" s="26"/>
      <c r="I140" s="25"/>
      <c r="J140" s="25"/>
      <c r="K140" s="25"/>
      <c r="L140" s="25"/>
      <c r="M140" s="25"/>
      <c r="CA140" s="11"/>
    </row>
    <row r="141" spans="1:79" x14ac:dyDescent="0.25">
      <c r="A141" s="25"/>
      <c r="B141" s="25"/>
      <c r="C141" s="25"/>
      <c r="D141" s="25"/>
      <c r="E141" s="25"/>
      <c r="F141" s="25"/>
      <c r="G141" s="25"/>
      <c r="H141" s="26"/>
      <c r="I141" s="25"/>
      <c r="J141" s="25"/>
      <c r="K141" s="25"/>
      <c r="L141" s="25"/>
      <c r="M141" s="25"/>
      <c r="CA141" s="11"/>
    </row>
    <row r="142" spans="1:79" x14ac:dyDescent="0.25">
      <c r="A142" s="25"/>
      <c r="B142" s="25"/>
      <c r="C142" s="25"/>
      <c r="D142" s="25"/>
      <c r="E142" s="25"/>
      <c r="F142" s="25"/>
      <c r="G142" s="25"/>
      <c r="H142" s="26"/>
      <c r="I142" s="25"/>
      <c r="J142" s="25"/>
      <c r="K142" s="25"/>
      <c r="L142" s="25"/>
      <c r="M142" s="25"/>
      <c r="CA142" s="11"/>
    </row>
    <row r="143" spans="1:79" x14ac:dyDescent="0.25">
      <c r="A143" s="25"/>
      <c r="B143" s="25"/>
      <c r="C143" s="25"/>
      <c r="D143" s="25"/>
      <c r="E143" s="25"/>
      <c r="F143" s="25"/>
      <c r="G143" s="25"/>
      <c r="H143" s="26"/>
      <c r="I143" s="25"/>
      <c r="J143" s="25"/>
      <c r="K143" s="25"/>
      <c r="L143" s="25"/>
      <c r="M143" s="25"/>
      <c r="CA143" s="11"/>
    </row>
    <row r="144" spans="1:79" x14ac:dyDescent="0.25">
      <c r="A144" s="25"/>
      <c r="B144" s="25"/>
      <c r="C144" s="25"/>
      <c r="D144" s="25"/>
      <c r="E144" s="25"/>
      <c r="F144" s="25"/>
      <c r="G144" s="25"/>
      <c r="H144" s="26"/>
      <c r="I144" s="25"/>
      <c r="J144" s="25"/>
      <c r="K144" s="25"/>
      <c r="L144" s="25"/>
      <c r="M144" s="25"/>
      <c r="CA144" s="11"/>
    </row>
    <row r="145" spans="1:79" x14ac:dyDescent="0.25">
      <c r="A145" s="25"/>
      <c r="B145" s="25"/>
      <c r="C145" s="25"/>
      <c r="D145" s="25"/>
      <c r="E145" s="25"/>
      <c r="F145" s="25"/>
      <c r="G145" s="25"/>
      <c r="H145" s="26"/>
      <c r="I145" s="25"/>
      <c r="J145" s="25"/>
      <c r="K145" s="25"/>
      <c r="L145" s="25"/>
      <c r="M145" s="25"/>
      <c r="CA145" s="11"/>
    </row>
    <row r="146" spans="1:79" x14ac:dyDescent="0.25">
      <c r="A146" s="25"/>
      <c r="B146" s="25"/>
      <c r="C146" s="25"/>
      <c r="D146" s="25"/>
      <c r="E146" s="25"/>
      <c r="F146" s="25"/>
      <c r="G146" s="25"/>
      <c r="H146" s="26"/>
      <c r="I146" s="25"/>
      <c r="J146" s="25"/>
      <c r="K146" s="25"/>
      <c r="L146" s="25"/>
      <c r="M146" s="25"/>
      <c r="CA146" s="11"/>
    </row>
    <row r="147" spans="1:79" x14ac:dyDescent="0.25">
      <c r="A147" s="25"/>
      <c r="B147" s="25"/>
      <c r="C147" s="25"/>
      <c r="D147" s="25"/>
      <c r="E147" s="25"/>
      <c r="F147" s="25"/>
      <c r="G147" s="25"/>
      <c r="H147" s="26"/>
      <c r="I147" s="25"/>
      <c r="J147" s="25"/>
      <c r="K147" s="25"/>
      <c r="L147" s="25"/>
      <c r="M147" s="25"/>
      <c r="CA147" s="11"/>
    </row>
    <row r="148" spans="1:79" x14ac:dyDescent="0.25">
      <c r="A148" s="25"/>
      <c r="B148" s="25"/>
      <c r="C148" s="25"/>
      <c r="D148" s="25"/>
      <c r="E148" s="25"/>
      <c r="F148" s="25"/>
      <c r="G148" s="25"/>
      <c r="H148" s="26"/>
      <c r="I148" s="25"/>
      <c r="J148" s="25"/>
      <c r="K148" s="25"/>
      <c r="L148" s="25"/>
      <c r="M148" s="25"/>
    </row>
    <row r="149" spans="1:79" x14ac:dyDescent="0.25">
      <c r="A149" s="25"/>
      <c r="B149" s="25"/>
      <c r="C149" s="25"/>
      <c r="D149" s="25"/>
      <c r="E149" s="25"/>
      <c r="F149" s="25"/>
      <c r="G149" s="25"/>
      <c r="H149" s="26"/>
      <c r="I149" s="25"/>
      <c r="J149" s="25"/>
      <c r="K149" s="25"/>
      <c r="L149" s="25"/>
      <c r="M149" s="25"/>
    </row>
    <row r="150" spans="1:79" x14ac:dyDescent="0.25">
      <c r="A150" s="25"/>
      <c r="B150" s="25"/>
      <c r="C150" s="25"/>
      <c r="D150" s="25"/>
      <c r="E150" s="25"/>
      <c r="F150" s="25"/>
      <c r="G150" s="25"/>
      <c r="H150" s="26"/>
      <c r="I150" s="25"/>
      <c r="J150" s="25"/>
      <c r="K150" s="25"/>
      <c r="L150" s="25"/>
      <c r="M150" s="25"/>
    </row>
    <row r="151" spans="1:79" x14ac:dyDescent="0.25">
      <c r="A151" s="25"/>
      <c r="B151" s="25"/>
      <c r="C151" s="25"/>
      <c r="D151" s="25"/>
      <c r="E151" s="25"/>
      <c r="F151" s="25"/>
      <c r="G151" s="25"/>
      <c r="H151" s="26"/>
      <c r="I151" s="25"/>
      <c r="J151" s="25"/>
      <c r="K151" s="25"/>
      <c r="L151" s="25"/>
      <c r="M151" s="25"/>
    </row>
    <row r="152" spans="1:79" x14ac:dyDescent="0.25">
      <c r="A152" s="25"/>
      <c r="B152" s="25"/>
      <c r="C152" s="25"/>
      <c r="D152" s="25"/>
      <c r="E152" s="25"/>
      <c r="F152" s="25"/>
      <c r="G152" s="25"/>
      <c r="H152" s="26"/>
      <c r="I152" s="25"/>
      <c r="J152" s="25"/>
      <c r="K152" s="25"/>
      <c r="L152" s="25"/>
      <c r="M152" s="25"/>
    </row>
    <row r="153" spans="1:79" x14ac:dyDescent="0.25">
      <c r="A153" s="25"/>
      <c r="B153" s="25"/>
      <c r="C153" s="25"/>
      <c r="D153" s="25"/>
      <c r="E153" s="25"/>
      <c r="F153" s="25"/>
      <c r="G153" s="25"/>
      <c r="H153" s="26"/>
      <c r="I153" s="25"/>
      <c r="J153" s="25"/>
      <c r="K153" s="25"/>
      <c r="L153" s="25"/>
      <c r="M153" s="25"/>
    </row>
    <row r="154" spans="1:79" x14ac:dyDescent="0.25">
      <c r="A154" s="25"/>
      <c r="B154" s="25"/>
      <c r="C154" s="25"/>
      <c r="D154" s="25"/>
      <c r="E154" s="25"/>
      <c r="F154" s="25"/>
      <c r="G154" s="25"/>
      <c r="H154" s="26"/>
      <c r="I154" s="25"/>
      <c r="J154" s="25"/>
      <c r="K154" s="25"/>
      <c r="L154" s="25"/>
      <c r="M154" s="25"/>
    </row>
    <row r="155" spans="1:79" x14ac:dyDescent="0.25">
      <c r="A155" s="25"/>
      <c r="B155" s="25"/>
      <c r="C155" s="25"/>
      <c r="D155" s="25"/>
      <c r="E155" s="25"/>
      <c r="F155" s="25"/>
      <c r="G155" s="25"/>
      <c r="H155" s="26"/>
      <c r="I155" s="25"/>
      <c r="J155" s="25"/>
      <c r="K155" s="25"/>
      <c r="L155" s="25"/>
      <c r="M155" s="25"/>
    </row>
    <row r="156" spans="1:79" x14ac:dyDescent="0.25">
      <c r="A156" s="25"/>
      <c r="B156" s="25"/>
      <c r="C156" s="25"/>
      <c r="D156" s="25"/>
      <c r="E156" s="25"/>
      <c r="F156" s="25"/>
      <c r="G156" s="25"/>
      <c r="H156" s="26"/>
      <c r="I156" s="25"/>
      <c r="J156" s="25"/>
      <c r="K156" s="25"/>
      <c r="L156" s="25"/>
      <c r="M156" s="25"/>
    </row>
    <row r="157" spans="1:79" x14ac:dyDescent="0.25">
      <c r="A157" s="25"/>
      <c r="B157" s="25"/>
      <c r="C157" s="25"/>
      <c r="D157" s="25"/>
      <c r="E157" s="25"/>
      <c r="F157" s="25"/>
      <c r="G157" s="25"/>
      <c r="H157" s="26"/>
      <c r="I157" s="25"/>
      <c r="J157" s="25"/>
      <c r="K157" s="25"/>
      <c r="L157" s="25"/>
      <c r="M157" s="25"/>
    </row>
    <row r="158" spans="1:79" x14ac:dyDescent="0.25">
      <c r="A158" s="25"/>
      <c r="B158" s="25"/>
      <c r="C158" s="25"/>
      <c r="D158" s="25"/>
      <c r="E158" s="25"/>
      <c r="F158" s="25"/>
      <c r="G158" s="25"/>
      <c r="H158" s="26"/>
      <c r="I158" s="25"/>
      <c r="J158" s="25"/>
      <c r="K158" s="25"/>
      <c r="L158" s="25"/>
      <c r="M158" s="25"/>
    </row>
    <row r="159" spans="1:79" x14ac:dyDescent="0.25">
      <c r="A159" s="25"/>
      <c r="B159" s="25"/>
      <c r="C159" s="25"/>
      <c r="D159" s="25"/>
      <c r="E159" s="25"/>
      <c r="F159" s="25"/>
      <c r="G159" s="25"/>
      <c r="H159" s="26"/>
      <c r="I159" s="25"/>
      <c r="J159" s="25"/>
      <c r="K159" s="25"/>
      <c r="L159" s="25"/>
      <c r="M159" s="25"/>
    </row>
    <row r="160" spans="1:79" x14ac:dyDescent="0.25">
      <c r="A160" s="25"/>
      <c r="B160" s="25"/>
      <c r="C160" s="25"/>
      <c r="D160" s="25"/>
      <c r="E160" s="25"/>
      <c r="F160" s="25"/>
      <c r="G160" s="25"/>
      <c r="H160" s="26"/>
      <c r="I160" s="25"/>
      <c r="J160" s="25"/>
      <c r="K160" s="25"/>
      <c r="L160" s="25"/>
      <c r="M160" s="25"/>
    </row>
    <row r="161" spans="1:13" x14ac:dyDescent="0.25">
      <c r="A161" s="25"/>
      <c r="B161" s="25"/>
      <c r="C161" s="25"/>
      <c r="D161" s="25"/>
      <c r="E161" s="25"/>
      <c r="F161" s="25"/>
      <c r="G161" s="25"/>
      <c r="H161" s="26"/>
      <c r="I161" s="25"/>
      <c r="J161" s="25"/>
      <c r="K161" s="25"/>
      <c r="L161" s="25"/>
      <c r="M161" s="25"/>
    </row>
    <row r="162" spans="1:13" x14ac:dyDescent="0.25">
      <c r="A162" s="25"/>
      <c r="B162" s="25"/>
      <c r="C162" s="25"/>
      <c r="D162" s="25"/>
      <c r="E162" s="25"/>
      <c r="F162" s="25"/>
      <c r="G162" s="25"/>
      <c r="H162" s="26"/>
      <c r="I162" s="25"/>
      <c r="J162" s="25"/>
      <c r="K162" s="25"/>
      <c r="L162" s="25"/>
      <c r="M162" s="25"/>
    </row>
    <row r="163" spans="1:13" x14ac:dyDescent="0.25">
      <c r="A163" s="25"/>
      <c r="B163" s="25"/>
      <c r="C163" s="25"/>
      <c r="D163" s="25"/>
      <c r="E163" s="25"/>
      <c r="F163" s="25"/>
      <c r="G163" s="25"/>
      <c r="H163" s="26"/>
      <c r="I163" s="25"/>
      <c r="J163" s="25"/>
      <c r="K163" s="25"/>
      <c r="L163" s="25"/>
      <c r="M163" s="25"/>
    </row>
    <row r="164" spans="1:13" x14ac:dyDescent="0.25">
      <c r="A164" s="25"/>
      <c r="B164" s="25"/>
      <c r="C164" s="25"/>
      <c r="D164" s="25"/>
      <c r="E164" s="25"/>
      <c r="F164" s="25"/>
      <c r="G164" s="25"/>
      <c r="H164" s="26"/>
      <c r="I164" s="25"/>
      <c r="J164" s="25"/>
      <c r="K164" s="25"/>
      <c r="L164" s="25"/>
      <c r="M164" s="25"/>
    </row>
    <row r="165" spans="1:13" x14ac:dyDescent="0.25">
      <c r="A165" s="25"/>
      <c r="B165" s="25"/>
      <c r="C165" s="25"/>
      <c r="D165" s="25"/>
      <c r="E165" s="25"/>
      <c r="F165" s="25"/>
      <c r="G165" s="25"/>
      <c r="H165" s="26"/>
      <c r="I165" s="25"/>
      <c r="J165" s="25"/>
      <c r="K165" s="25"/>
      <c r="L165" s="25"/>
      <c r="M165" s="25"/>
    </row>
    <row r="166" spans="1:13" x14ac:dyDescent="0.25">
      <c r="A166" s="25"/>
      <c r="B166" s="25"/>
      <c r="C166" s="25"/>
      <c r="D166" s="25"/>
      <c r="E166" s="25"/>
      <c r="F166" s="25"/>
      <c r="G166" s="25"/>
      <c r="H166" s="26"/>
      <c r="I166" s="25"/>
      <c r="J166" s="25"/>
      <c r="K166" s="25"/>
      <c r="L166" s="25"/>
      <c r="M166" s="25"/>
    </row>
    <row r="167" spans="1:13" x14ac:dyDescent="0.25">
      <c r="A167" s="25"/>
      <c r="B167" s="25"/>
      <c r="C167" s="25"/>
      <c r="D167" s="25"/>
      <c r="E167" s="25"/>
      <c r="F167" s="25"/>
      <c r="G167" s="25"/>
      <c r="H167" s="26"/>
      <c r="I167" s="25"/>
      <c r="J167" s="25"/>
      <c r="K167" s="25"/>
      <c r="L167" s="25"/>
      <c r="M167" s="25"/>
    </row>
    <row r="168" spans="1:13" x14ac:dyDescent="0.25">
      <c r="A168" s="25"/>
      <c r="B168" s="25"/>
      <c r="C168" s="25"/>
      <c r="D168" s="25"/>
      <c r="E168" s="25"/>
      <c r="F168" s="25"/>
      <c r="G168" s="25"/>
      <c r="H168" s="26"/>
      <c r="I168" s="25"/>
      <c r="J168" s="25"/>
      <c r="K168" s="25"/>
      <c r="L168" s="25"/>
      <c r="M168" s="25"/>
    </row>
    <row r="169" spans="1:13" x14ac:dyDescent="0.25">
      <c r="A169" s="25"/>
      <c r="B169" s="25"/>
      <c r="C169" s="25"/>
      <c r="D169" s="25"/>
      <c r="E169" s="25"/>
      <c r="F169" s="25"/>
      <c r="G169" s="25"/>
      <c r="H169" s="26"/>
      <c r="I169" s="25"/>
      <c r="J169" s="25"/>
      <c r="K169" s="25"/>
      <c r="L169" s="25"/>
      <c r="M169" s="25"/>
    </row>
    <row r="170" spans="1:13" x14ac:dyDescent="0.25">
      <c r="A170" s="25"/>
      <c r="B170" s="25"/>
      <c r="C170" s="25"/>
      <c r="D170" s="25"/>
      <c r="E170" s="25"/>
      <c r="F170" s="25"/>
      <c r="G170" s="25"/>
      <c r="H170" s="26"/>
      <c r="I170" s="25"/>
      <c r="J170" s="25"/>
      <c r="K170" s="25"/>
      <c r="L170" s="25"/>
      <c r="M170" s="25"/>
    </row>
    <row r="171" spans="1:13" x14ac:dyDescent="0.25">
      <c r="A171" s="25"/>
      <c r="B171" s="25"/>
      <c r="C171" s="25"/>
      <c r="D171" s="25"/>
      <c r="E171" s="25"/>
      <c r="F171" s="25"/>
      <c r="G171" s="25"/>
      <c r="H171" s="26"/>
      <c r="I171" s="25"/>
      <c r="J171" s="25"/>
      <c r="K171" s="25"/>
      <c r="L171" s="25"/>
      <c r="M171" s="25"/>
    </row>
    <row r="172" spans="1:13" x14ac:dyDescent="0.25">
      <c r="A172" s="25"/>
      <c r="B172" s="25"/>
      <c r="C172" s="25"/>
      <c r="D172" s="25"/>
      <c r="E172" s="25"/>
      <c r="F172" s="25"/>
      <c r="G172" s="25"/>
      <c r="H172" s="26"/>
      <c r="I172" s="25"/>
      <c r="J172" s="25"/>
      <c r="K172" s="25"/>
      <c r="L172" s="25"/>
      <c r="M172" s="25"/>
    </row>
    <row r="173" spans="1:13" x14ac:dyDescent="0.25">
      <c r="A173" s="25"/>
      <c r="B173" s="25"/>
      <c r="C173" s="25"/>
      <c r="D173" s="25"/>
      <c r="E173" s="25"/>
      <c r="F173" s="25"/>
      <c r="G173" s="25"/>
      <c r="H173" s="26"/>
      <c r="I173" s="25"/>
      <c r="J173" s="25"/>
      <c r="K173" s="25"/>
      <c r="L173" s="25"/>
      <c r="M173" s="25"/>
    </row>
    <row r="174" spans="1:13" x14ac:dyDescent="0.25">
      <c r="A174" s="25"/>
      <c r="B174" s="25"/>
      <c r="C174" s="25"/>
      <c r="D174" s="25"/>
      <c r="E174" s="25"/>
      <c r="F174" s="25"/>
      <c r="G174" s="25"/>
      <c r="H174" s="26"/>
      <c r="I174" s="25"/>
      <c r="J174" s="25"/>
      <c r="K174" s="25"/>
      <c r="L174" s="25"/>
      <c r="M174" s="25"/>
    </row>
    <row r="175" spans="1:13" x14ac:dyDescent="0.25">
      <c r="A175" s="25"/>
      <c r="B175" s="25"/>
      <c r="C175" s="25"/>
      <c r="D175" s="25"/>
      <c r="E175" s="25"/>
      <c r="F175" s="25"/>
      <c r="G175" s="25"/>
      <c r="H175" s="26"/>
      <c r="I175" s="25"/>
      <c r="J175" s="25"/>
      <c r="K175" s="25"/>
      <c r="L175" s="25"/>
      <c r="M175" s="25"/>
    </row>
    <row r="176" spans="1:13" x14ac:dyDescent="0.25">
      <c r="A176" s="25"/>
      <c r="B176" s="25"/>
      <c r="C176" s="25"/>
      <c r="D176" s="25"/>
      <c r="E176" s="25"/>
      <c r="F176" s="25"/>
      <c r="G176" s="25"/>
      <c r="H176" s="26"/>
      <c r="I176" s="25"/>
      <c r="J176" s="25"/>
      <c r="K176" s="25"/>
      <c r="L176" s="25"/>
      <c r="M176" s="25"/>
    </row>
    <row r="177" spans="1:13" x14ac:dyDescent="0.25">
      <c r="A177" s="25"/>
      <c r="B177" s="25"/>
      <c r="C177" s="25"/>
      <c r="D177" s="25"/>
      <c r="E177" s="25"/>
      <c r="F177" s="25"/>
      <c r="G177" s="25"/>
      <c r="H177" s="26"/>
      <c r="I177" s="25"/>
      <c r="J177" s="25"/>
      <c r="K177" s="25"/>
      <c r="L177" s="25"/>
      <c r="M177" s="25"/>
    </row>
    <row r="178" spans="1:13" x14ac:dyDescent="0.25">
      <c r="A178" s="25"/>
      <c r="B178" s="25"/>
      <c r="C178" s="25"/>
      <c r="D178" s="25"/>
      <c r="E178" s="25"/>
      <c r="F178" s="25"/>
      <c r="G178" s="25"/>
      <c r="H178" s="26"/>
      <c r="I178" s="25"/>
      <c r="J178" s="25"/>
      <c r="K178" s="25"/>
      <c r="L178" s="25"/>
      <c r="M178" s="25"/>
    </row>
    <row r="179" spans="1:13" x14ac:dyDescent="0.25">
      <c r="A179" s="25"/>
      <c r="B179" s="25"/>
      <c r="C179" s="25"/>
      <c r="D179" s="25"/>
      <c r="E179" s="25"/>
      <c r="F179" s="25"/>
      <c r="G179" s="25"/>
      <c r="H179" s="26"/>
      <c r="I179" s="25"/>
      <c r="J179" s="25"/>
      <c r="K179" s="25"/>
      <c r="L179" s="25"/>
      <c r="M179" s="25"/>
    </row>
    <row r="180" spans="1:13" x14ac:dyDescent="0.25">
      <c r="A180" s="25"/>
      <c r="B180" s="25"/>
      <c r="C180" s="25"/>
      <c r="D180" s="25"/>
      <c r="E180" s="25"/>
      <c r="F180" s="25"/>
      <c r="G180" s="25"/>
      <c r="H180" s="26"/>
      <c r="I180" s="25"/>
      <c r="J180" s="25"/>
      <c r="K180" s="25"/>
      <c r="L180" s="25"/>
      <c r="M180" s="25"/>
    </row>
    <row r="181" spans="1:13" x14ac:dyDescent="0.25">
      <c r="A181" s="25"/>
      <c r="B181" s="25"/>
      <c r="C181" s="25"/>
      <c r="D181" s="25"/>
      <c r="E181" s="25"/>
      <c r="F181" s="25"/>
      <c r="G181" s="25"/>
      <c r="H181" s="26"/>
      <c r="I181" s="25"/>
      <c r="J181" s="25"/>
      <c r="K181" s="25"/>
      <c r="L181" s="25"/>
      <c r="M181" s="25"/>
    </row>
    <row r="182" spans="1:13" x14ac:dyDescent="0.25">
      <c r="A182" s="25"/>
      <c r="B182" s="25"/>
      <c r="C182" s="25"/>
      <c r="D182" s="25"/>
      <c r="E182" s="25"/>
      <c r="F182" s="25"/>
      <c r="G182" s="25"/>
      <c r="H182" s="26"/>
      <c r="I182" s="25"/>
      <c r="J182" s="25"/>
      <c r="K182" s="25"/>
      <c r="L182" s="25"/>
      <c r="M182" s="25"/>
    </row>
    <row r="183" spans="1:13" x14ac:dyDescent="0.25">
      <c r="A183" s="25"/>
      <c r="B183" s="25"/>
      <c r="C183" s="25"/>
      <c r="D183" s="25"/>
      <c r="E183" s="25"/>
      <c r="F183" s="25"/>
      <c r="G183" s="25"/>
      <c r="H183" s="26"/>
      <c r="I183" s="25"/>
      <c r="J183" s="25"/>
      <c r="K183" s="25"/>
      <c r="L183" s="25"/>
      <c r="M183" s="25"/>
    </row>
    <row r="184" spans="1:13" x14ac:dyDescent="0.25">
      <c r="A184" s="25"/>
      <c r="B184" s="25"/>
      <c r="C184" s="25"/>
      <c r="D184" s="25"/>
      <c r="E184" s="25"/>
      <c r="F184" s="25"/>
      <c r="G184" s="25"/>
      <c r="H184" s="26"/>
      <c r="I184" s="25"/>
      <c r="J184" s="25"/>
      <c r="K184" s="25"/>
      <c r="L184" s="25"/>
      <c r="M184" s="25"/>
    </row>
    <row r="185" spans="1:13" x14ac:dyDescent="0.25">
      <c r="A185" s="25"/>
      <c r="B185" s="25"/>
      <c r="C185" s="25"/>
      <c r="D185" s="25"/>
      <c r="E185" s="25"/>
      <c r="F185" s="25"/>
      <c r="G185" s="25"/>
      <c r="H185" s="26"/>
      <c r="I185" s="25"/>
      <c r="J185" s="25"/>
      <c r="K185" s="25"/>
      <c r="L185" s="25"/>
      <c r="M185" s="25"/>
    </row>
    <row r="186" spans="1:13" x14ac:dyDescent="0.25">
      <c r="A186" s="25"/>
      <c r="B186" s="25"/>
      <c r="C186" s="25"/>
      <c r="D186" s="25"/>
      <c r="E186" s="25"/>
      <c r="F186" s="25"/>
      <c r="G186" s="25"/>
      <c r="H186" s="26"/>
      <c r="I186" s="25"/>
      <c r="J186" s="25"/>
      <c r="K186" s="25"/>
      <c r="L186" s="25"/>
      <c r="M186" s="25"/>
    </row>
    <row r="187" spans="1:13" x14ac:dyDescent="0.25">
      <c r="A187" s="25"/>
      <c r="B187" s="25"/>
      <c r="C187" s="25"/>
      <c r="D187" s="25"/>
      <c r="E187" s="25"/>
      <c r="F187" s="25"/>
      <c r="G187" s="25"/>
      <c r="H187" s="26"/>
      <c r="I187" s="25"/>
      <c r="J187" s="25"/>
      <c r="K187" s="25"/>
      <c r="L187" s="25"/>
      <c r="M187" s="25"/>
    </row>
    <row r="188" spans="1:13" x14ac:dyDescent="0.25">
      <c r="A188" s="25"/>
      <c r="B188" s="25"/>
      <c r="C188" s="25"/>
      <c r="D188" s="25"/>
      <c r="E188" s="25"/>
      <c r="F188" s="25"/>
      <c r="G188" s="25"/>
      <c r="H188" s="26"/>
      <c r="I188" s="25"/>
      <c r="J188" s="25"/>
      <c r="K188" s="25"/>
      <c r="L188" s="25"/>
      <c r="M188" s="25"/>
    </row>
    <row r="189" spans="1:13" x14ac:dyDescent="0.25">
      <c r="A189" s="25"/>
      <c r="B189" s="25"/>
      <c r="C189" s="25"/>
      <c r="D189" s="25"/>
      <c r="E189" s="25"/>
      <c r="F189" s="25"/>
      <c r="G189" s="25"/>
      <c r="H189" s="26"/>
      <c r="I189" s="25"/>
      <c r="J189" s="25"/>
      <c r="K189" s="25"/>
      <c r="L189" s="25"/>
      <c r="M189" s="25"/>
    </row>
    <row r="190" spans="1:13" x14ac:dyDescent="0.25">
      <c r="A190" s="25"/>
      <c r="B190" s="25"/>
      <c r="C190" s="25"/>
      <c r="D190" s="25"/>
      <c r="E190" s="25"/>
      <c r="F190" s="25"/>
      <c r="G190" s="25"/>
      <c r="H190" s="26"/>
      <c r="I190" s="25"/>
      <c r="J190" s="25"/>
      <c r="K190" s="25"/>
      <c r="L190" s="25"/>
      <c r="M190" s="25"/>
    </row>
    <row r="191" spans="1:13" x14ac:dyDescent="0.25">
      <c r="A191" s="25"/>
      <c r="B191" s="25"/>
      <c r="C191" s="25"/>
      <c r="D191" s="25"/>
      <c r="E191" s="25"/>
      <c r="F191" s="25"/>
      <c r="G191" s="25"/>
      <c r="H191" s="26"/>
      <c r="I191" s="25"/>
      <c r="J191" s="25"/>
      <c r="K191" s="25"/>
      <c r="L191" s="25"/>
      <c r="M191" s="25"/>
    </row>
    <row r="192" spans="1:13" x14ac:dyDescent="0.25">
      <c r="A192" s="25"/>
      <c r="B192" s="25"/>
      <c r="C192" s="25"/>
      <c r="D192" s="25"/>
      <c r="E192" s="25"/>
      <c r="F192" s="25"/>
      <c r="G192" s="25"/>
      <c r="H192" s="26"/>
      <c r="I192" s="25"/>
      <c r="J192" s="25"/>
      <c r="K192" s="25"/>
      <c r="L192" s="25"/>
      <c r="M192" s="25"/>
    </row>
    <row r="193" spans="1:13" x14ac:dyDescent="0.25">
      <c r="A193" s="25"/>
      <c r="B193" s="25"/>
      <c r="C193" s="25"/>
      <c r="D193" s="25"/>
      <c r="E193" s="25"/>
      <c r="F193" s="25"/>
      <c r="G193" s="25"/>
      <c r="H193" s="26"/>
      <c r="I193" s="25"/>
      <c r="J193" s="25"/>
      <c r="K193" s="25"/>
      <c r="L193" s="25"/>
      <c r="M193" s="25"/>
    </row>
    <row r="194" spans="1:13" x14ac:dyDescent="0.25">
      <c r="A194" s="25"/>
      <c r="B194" s="25"/>
      <c r="C194" s="25"/>
      <c r="D194" s="25"/>
      <c r="E194" s="25"/>
      <c r="F194" s="25"/>
      <c r="G194" s="25"/>
      <c r="H194" s="26"/>
      <c r="I194" s="25"/>
      <c r="J194" s="25"/>
      <c r="K194" s="25"/>
      <c r="L194" s="25"/>
      <c r="M194" s="25"/>
    </row>
    <row r="195" spans="1:13" x14ac:dyDescent="0.25">
      <c r="A195" s="25"/>
      <c r="B195" s="25"/>
      <c r="C195" s="25"/>
      <c r="D195" s="25"/>
      <c r="E195" s="25"/>
      <c r="F195" s="25"/>
      <c r="G195" s="25"/>
      <c r="H195" s="26"/>
      <c r="I195" s="25"/>
      <c r="J195" s="25"/>
      <c r="K195" s="25"/>
      <c r="L195" s="25"/>
      <c r="M195" s="25"/>
    </row>
    <row r="196" spans="1:13" x14ac:dyDescent="0.25">
      <c r="A196" s="25"/>
      <c r="B196" s="25"/>
      <c r="C196" s="25"/>
      <c r="D196" s="25"/>
      <c r="E196" s="25"/>
      <c r="F196" s="25"/>
      <c r="G196" s="25"/>
      <c r="H196" s="26"/>
      <c r="I196" s="25"/>
      <c r="J196" s="25"/>
      <c r="K196" s="25"/>
      <c r="L196" s="25"/>
      <c r="M196" s="25"/>
    </row>
    <row r="197" spans="1:13" x14ac:dyDescent="0.25">
      <c r="A197" s="25"/>
      <c r="B197" s="25"/>
      <c r="C197" s="25"/>
      <c r="D197" s="25"/>
      <c r="E197" s="25"/>
      <c r="F197" s="25"/>
      <c r="G197" s="25"/>
      <c r="H197" s="26"/>
      <c r="I197" s="25"/>
      <c r="J197" s="25"/>
      <c r="K197" s="25"/>
      <c r="L197" s="25"/>
      <c r="M197" s="25"/>
    </row>
    <row r="198" spans="1:13" x14ac:dyDescent="0.25">
      <c r="A198" s="25"/>
      <c r="B198" s="25"/>
      <c r="C198" s="25"/>
      <c r="D198" s="25"/>
      <c r="E198" s="25"/>
      <c r="F198" s="25"/>
      <c r="G198" s="25"/>
      <c r="H198" s="26"/>
      <c r="I198" s="25"/>
      <c r="J198" s="25"/>
      <c r="K198" s="25"/>
      <c r="L198" s="25"/>
      <c r="M198" s="25"/>
    </row>
    <row r="199" spans="1:13" x14ac:dyDescent="0.25">
      <c r="A199" s="25"/>
      <c r="B199" s="25"/>
      <c r="C199" s="25"/>
      <c r="D199" s="25"/>
      <c r="E199" s="25"/>
      <c r="F199" s="25"/>
      <c r="G199" s="25"/>
      <c r="H199" s="26"/>
      <c r="I199" s="25"/>
      <c r="J199" s="25"/>
      <c r="K199" s="25"/>
      <c r="L199" s="25"/>
      <c r="M199" s="25"/>
    </row>
    <row r="200" spans="1:13" x14ac:dyDescent="0.25">
      <c r="A200" s="25"/>
      <c r="B200" s="25"/>
      <c r="C200" s="25"/>
      <c r="D200" s="25"/>
      <c r="E200" s="25"/>
      <c r="F200" s="25"/>
      <c r="G200" s="25"/>
      <c r="H200" s="26"/>
      <c r="I200" s="25"/>
      <c r="J200" s="25"/>
      <c r="K200" s="25"/>
      <c r="L200" s="25"/>
      <c r="M200" s="25"/>
    </row>
    <row r="201" spans="1:13" x14ac:dyDescent="0.25">
      <c r="A201" s="25"/>
      <c r="B201" s="25"/>
      <c r="C201" s="25"/>
      <c r="D201" s="25"/>
      <c r="E201" s="25"/>
      <c r="F201" s="25"/>
      <c r="G201" s="25"/>
      <c r="H201" s="26"/>
      <c r="I201" s="25"/>
      <c r="J201" s="25"/>
      <c r="K201" s="25"/>
      <c r="L201" s="25"/>
      <c r="M201" s="25"/>
    </row>
    <row r="202" spans="1:13" x14ac:dyDescent="0.25">
      <c r="A202" s="25"/>
      <c r="B202" s="25"/>
      <c r="C202" s="25"/>
      <c r="D202" s="25"/>
      <c r="E202" s="25"/>
      <c r="F202" s="25"/>
      <c r="G202" s="25"/>
      <c r="H202" s="26"/>
      <c r="I202" s="25"/>
      <c r="J202" s="25"/>
      <c r="K202" s="25"/>
      <c r="L202" s="25"/>
      <c r="M202" s="25"/>
    </row>
    <row r="203" spans="1:13" x14ac:dyDescent="0.25">
      <c r="A203" s="25"/>
      <c r="B203" s="25"/>
      <c r="C203" s="25"/>
      <c r="D203" s="25"/>
      <c r="E203" s="25"/>
      <c r="F203" s="25"/>
      <c r="G203" s="25"/>
      <c r="H203" s="26"/>
      <c r="I203" s="25"/>
      <c r="J203" s="25"/>
      <c r="K203" s="25"/>
      <c r="L203" s="25"/>
      <c r="M203" s="25"/>
    </row>
    <row r="204" spans="1:13" x14ac:dyDescent="0.25">
      <c r="A204" s="25"/>
      <c r="B204" s="25"/>
      <c r="C204" s="25"/>
      <c r="D204" s="25"/>
      <c r="E204" s="25"/>
      <c r="F204" s="25"/>
      <c r="G204" s="25"/>
      <c r="H204" s="26"/>
      <c r="I204" s="25"/>
      <c r="J204" s="25"/>
      <c r="K204" s="25"/>
      <c r="L204" s="25"/>
      <c r="M204" s="25"/>
    </row>
    <row r="205" spans="1:13" x14ac:dyDescent="0.25">
      <c r="A205" s="25"/>
      <c r="B205" s="25"/>
      <c r="C205" s="25"/>
      <c r="D205" s="25"/>
      <c r="E205" s="25"/>
      <c r="F205" s="25"/>
      <c r="G205" s="25"/>
      <c r="H205" s="26"/>
      <c r="I205" s="25"/>
      <c r="J205" s="25"/>
      <c r="K205" s="25"/>
      <c r="L205" s="25"/>
      <c r="M205" s="25"/>
    </row>
    <row r="206" spans="1:13" x14ac:dyDescent="0.25">
      <c r="A206" s="25"/>
      <c r="B206" s="25"/>
      <c r="C206" s="25"/>
      <c r="D206" s="25"/>
      <c r="E206" s="25"/>
      <c r="F206" s="25"/>
      <c r="G206" s="25"/>
      <c r="H206" s="26"/>
      <c r="I206" s="25"/>
      <c r="J206" s="25"/>
      <c r="K206" s="25"/>
      <c r="L206" s="25"/>
      <c r="M206" s="25"/>
    </row>
    <row r="207" spans="1:13" x14ac:dyDescent="0.25">
      <c r="A207" s="25"/>
      <c r="B207" s="25"/>
      <c r="C207" s="25"/>
      <c r="D207" s="25"/>
      <c r="E207" s="25"/>
      <c r="F207" s="25"/>
      <c r="G207" s="25"/>
      <c r="H207" s="26"/>
      <c r="I207" s="25"/>
      <c r="J207" s="25"/>
      <c r="K207" s="25"/>
      <c r="L207" s="25"/>
      <c r="M207" s="25"/>
    </row>
    <row r="208" spans="1:13" x14ac:dyDescent="0.25">
      <c r="A208" s="25"/>
      <c r="B208" s="25"/>
      <c r="C208" s="25"/>
      <c r="D208" s="25"/>
      <c r="E208" s="25"/>
      <c r="F208" s="25"/>
      <c r="G208" s="25"/>
      <c r="H208" s="26"/>
      <c r="I208" s="25"/>
      <c r="J208" s="25"/>
      <c r="K208" s="25"/>
      <c r="L208" s="25"/>
      <c r="M208" s="25"/>
    </row>
    <row r="209" spans="1:13" x14ac:dyDescent="0.25">
      <c r="A209" s="25"/>
      <c r="B209" s="25"/>
      <c r="C209" s="25"/>
      <c r="D209" s="25"/>
      <c r="E209" s="25"/>
      <c r="F209" s="25"/>
      <c r="G209" s="25"/>
      <c r="H209" s="26"/>
      <c r="I209" s="25"/>
      <c r="J209" s="25"/>
      <c r="K209" s="25"/>
      <c r="L209" s="25"/>
      <c r="M209" s="25"/>
    </row>
    <row r="210" spans="1:13" x14ac:dyDescent="0.25">
      <c r="A210" s="25"/>
      <c r="B210" s="25"/>
      <c r="C210" s="25"/>
      <c r="D210" s="25"/>
      <c r="E210" s="25"/>
      <c r="F210" s="25"/>
      <c r="G210" s="25"/>
      <c r="H210" s="26"/>
      <c r="I210" s="25"/>
      <c r="J210" s="25"/>
      <c r="K210" s="25"/>
      <c r="L210" s="25"/>
      <c r="M210" s="25"/>
    </row>
    <row r="211" spans="1:13" x14ac:dyDescent="0.25">
      <c r="A211" s="25"/>
      <c r="B211" s="25"/>
      <c r="C211" s="25"/>
      <c r="D211" s="25"/>
      <c r="E211" s="25"/>
      <c r="F211" s="25"/>
      <c r="G211" s="25"/>
      <c r="H211" s="26"/>
      <c r="I211" s="25"/>
      <c r="J211" s="25"/>
      <c r="K211" s="25"/>
      <c r="L211" s="25"/>
      <c r="M211" s="25"/>
    </row>
    <row r="212" spans="1:13" x14ac:dyDescent="0.25">
      <c r="A212" s="25"/>
      <c r="B212" s="25"/>
      <c r="C212" s="25"/>
      <c r="D212" s="25"/>
      <c r="E212" s="25"/>
      <c r="F212" s="25"/>
      <c r="G212" s="25"/>
      <c r="H212" s="26"/>
      <c r="I212" s="25"/>
      <c r="J212" s="25"/>
      <c r="K212" s="25"/>
      <c r="L212" s="25"/>
      <c r="M212" s="25"/>
    </row>
    <row r="213" spans="1:13" x14ac:dyDescent="0.25">
      <c r="A213" s="25"/>
      <c r="B213" s="25"/>
      <c r="C213" s="25"/>
      <c r="D213" s="25"/>
      <c r="E213" s="25"/>
      <c r="F213" s="25"/>
      <c r="G213" s="25"/>
      <c r="H213" s="26"/>
      <c r="I213" s="25"/>
      <c r="J213" s="25"/>
      <c r="K213" s="25"/>
      <c r="L213" s="25"/>
      <c r="M213" s="25"/>
    </row>
    <row r="214" spans="1:13" x14ac:dyDescent="0.25">
      <c r="A214" s="25"/>
      <c r="B214" s="25"/>
      <c r="C214" s="25"/>
      <c r="D214" s="25"/>
      <c r="E214" s="25"/>
      <c r="F214" s="25"/>
      <c r="G214" s="25"/>
      <c r="H214" s="26"/>
      <c r="I214" s="25"/>
      <c r="J214" s="25"/>
      <c r="K214" s="25"/>
      <c r="L214" s="25"/>
      <c r="M214" s="25"/>
    </row>
    <row r="215" spans="1:13" x14ac:dyDescent="0.25">
      <c r="A215" s="25"/>
      <c r="B215" s="25"/>
      <c r="C215" s="25"/>
      <c r="D215" s="25"/>
      <c r="E215" s="25"/>
      <c r="F215" s="25"/>
      <c r="G215" s="25"/>
      <c r="H215" s="26"/>
      <c r="I215" s="25"/>
      <c r="J215" s="25"/>
      <c r="K215" s="25"/>
      <c r="L215" s="25"/>
      <c r="M215" s="25"/>
    </row>
    <row r="216" spans="1:13" x14ac:dyDescent="0.25">
      <c r="A216" s="25"/>
      <c r="B216" s="25"/>
      <c r="C216" s="25"/>
      <c r="D216" s="25"/>
      <c r="E216" s="25"/>
      <c r="F216" s="25"/>
      <c r="G216" s="25"/>
      <c r="H216" s="26"/>
      <c r="I216" s="25"/>
      <c r="J216" s="25"/>
      <c r="K216" s="25"/>
      <c r="L216" s="25"/>
      <c r="M216" s="25"/>
    </row>
    <row r="217" spans="1:13" x14ac:dyDescent="0.25">
      <c r="A217" s="25"/>
      <c r="B217" s="25"/>
      <c r="C217" s="25"/>
      <c r="D217" s="25"/>
      <c r="E217" s="25"/>
      <c r="F217" s="25"/>
      <c r="G217" s="25"/>
      <c r="H217" s="26"/>
      <c r="I217" s="25"/>
      <c r="J217" s="25"/>
      <c r="K217" s="25"/>
      <c r="L217" s="25"/>
      <c r="M217" s="25"/>
    </row>
    <row r="218" spans="1:13" x14ac:dyDescent="0.25">
      <c r="A218" s="25"/>
      <c r="B218" s="25"/>
      <c r="C218" s="25"/>
      <c r="D218" s="25"/>
      <c r="E218" s="25"/>
      <c r="F218" s="25"/>
      <c r="G218" s="25"/>
      <c r="H218" s="26"/>
      <c r="I218" s="25"/>
      <c r="J218" s="25"/>
      <c r="K218" s="25"/>
      <c r="L218" s="25"/>
      <c r="M218" s="25"/>
    </row>
    <row r="219" spans="1:13" x14ac:dyDescent="0.25">
      <c r="A219" s="25"/>
      <c r="B219" s="25"/>
      <c r="C219" s="25"/>
      <c r="D219" s="25"/>
      <c r="E219" s="25"/>
      <c r="F219" s="25"/>
      <c r="G219" s="25"/>
      <c r="H219" s="26"/>
      <c r="I219" s="25"/>
      <c r="J219" s="25"/>
      <c r="K219" s="25"/>
      <c r="L219" s="25"/>
      <c r="M219" s="25"/>
    </row>
    <row r="220" spans="1:13" x14ac:dyDescent="0.25">
      <c r="A220" s="25"/>
      <c r="B220" s="25"/>
      <c r="C220" s="25"/>
      <c r="D220" s="25"/>
      <c r="E220" s="25"/>
      <c r="F220" s="25"/>
      <c r="G220" s="25"/>
      <c r="H220" s="26"/>
      <c r="I220" s="25"/>
      <c r="J220" s="25"/>
      <c r="K220" s="25"/>
      <c r="L220" s="25"/>
      <c r="M220" s="25"/>
    </row>
    <row r="221" spans="1:13" x14ac:dyDescent="0.25">
      <c r="A221" s="25"/>
      <c r="B221" s="25"/>
      <c r="C221" s="25"/>
      <c r="D221" s="25"/>
      <c r="E221" s="25"/>
      <c r="F221" s="25"/>
      <c r="G221" s="25"/>
      <c r="H221" s="26"/>
      <c r="I221" s="25"/>
      <c r="J221" s="25"/>
      <c r="K221" s="25"/>
      <c r="L221" s="25"/>
      <c r="M221" s="25"/>
    </row>
    <row r="222" spans="1:13" x14ac:dyDescent="0.25">
      <c r="A222" s="25"/>
      <c r="B222" s="25"/>
      <c r="C222" s="25"/>
      <c r="D222" s="25"/>
      <c r="E222" s="25"/>
      <c r="F222" s="25"/>
      <c r="G222" s="25"/>
      <c r="H222" s="26"/>
      <c r="I222" s="25"/>
      <c r="J222" s="25"/>
      <c r="K222" s="25"/>
      <c r="L222" s="25"/>
      <c r="M222" s="25"/>
    </row>
    <row r="223" spans="1:13" x14ac:dyDescent="0.25">
      <c r="A223" s="25"/>
      <c r="B223" s="25"/>
      <c r="C223" s="25"/>
      <c r="D223" s="25"/>
      <c r="E223" s="25"/>
      <c r="F223" s="25"/>
      <c r="G223" s="25"/>
      <c r="H223" s="26"/>
      <c r="I223" s="25"/>
      <c r="J223" s="25"/>
      <c r="K223" s="25"/>
      <c r="L223" s="25"/>
      <c r="M223" s="25"/>
    </row>
    <row r="224" spans="1:13" x14ac:dyDescent="0.25">
      <c r="A224" s="25"/>
      <c r="B224" s="25"/>
      <c r="C224" s="25"/>
      <c r="D224" s="25"/>
      <c r="E224" s="25"/>
      <c r="F224" s="25"/>
      <c r="G224" s="25"/>
      <c r="H224" s="26"/>
      <c r="I224" s="25"/>
      <c r="J224" s="25"/>
      <c r="K224" s="25"/>
      <c r="L224" s="25"/>
      <c r="M224" s="25"/>
    </row>
    <row r="225" spans="1:13" x14ac:dyDescent="0.25">
      <c r="A225" s="25"/>
      <c r="B225" s="25"/>
      <c r="C225" s="25"/>
      <c r="D225" s="25"/>
      <c r="E225" s="25"/>
      <c r="F225" s="25"/>
      <c r="G225" s="25"/>
      <c r="H225" s="26"/>
      <c r="I225" s="25"/>
      <c r="J225" s="25"/>
      <c r="K225" s="25"/>
      <c r="L225" s="25"/>
      <c r="M225" s="25"/>
    </row>
    <row r="226" spans="1:13" x14ac:dyDescent="0.25">
      <c r="A226" s="25"/>
      <c r="B226" s="25"/>
      <c r="C226" s="25"/>
      <c r="D226" s="25"/>
      <c r="E226" s="25"/>
      <c r="F226" s="25"/>
      <c r="G226" s="25"/>
      <c r="H226" s="26"/>
      <c r="I226" s="25"/>
      <c r="J226" s="25"/>
      <c r="K226" s="25"/>
      <c r="L226" s="25"/>
      <c r="M226" s="25"/>
    </row>
    <row r="227" spans="1:13" x14ac:dyDescent="0.25">
      <c r="A227" s="25"/>
      <c r="B227" s="25"/>
      <c r="C227" s="25"/>
      <c r="D227" s="25"/>
      <c r="E227" s="25"/>
      <c r="F227" s="25"/>
      <c r="G227" s="25"/>
      <c r="H227" s="26"/>
      <c r="I227" s="25"/>
      <c r="J227" s="25"/>
      <c r="K227" s="25"/>
      <c r="L227" s="25"/>
      <c r="M227" s="25"/>
    </row>
    <row r="228" spans="1:13" x14ac:dyDescent="0.25">
      <c r="A228" s="25"/>
      <c r="B228" s="25"/>
      <c r="C228" s="25"/>
      <c r="D228" s="25"/>
      <c r="E228" s="25"/>
      <c r="F228" s="25"/>
      <c r="G228" s="25"/>
      <c r="H228" s="26"/>
      <c r="I228" s="25"/>
      <c r="J228" s="25"/>
      <c r="K228" s="25"/>
      <c r="L228" s="25"/>
      <c r="M228" s="25"/>
    </row>
    <row r="229" spans="1:13" x14ac:dyDescent="0.25">
      <c r="A229" s="25"/>
      <c r="B229" s="25"/>
      <c r="C229" s="25"/>
      <c r="D229" s="25"/>
      <c r="E229" s="25"/>
      <c r="F229" s="25"/>
      <c r="G229" s="25"/>
      <c r="H229" s="26"/>
      <c r="I229" s="25"/>
      <c r="J229" s="25"/>
      <c r="K229" s="25"/>
      <c r="L229" s="25"/>
      <c r="M229" s="25"/>
    </row>
    <row r="230" spans="1:13" x14ac:dyDescent="0.25">
      <c r="A230" s="25"/>
      <c r="B230" s="25"/>
      <c r="C230" s="25"/>
      <c r="D230" s="25"/>
      <c r="E230" s="25"/>
      <c r="F230" s="25"/>
      <c r="G230" s="25"/>
      <c r="H230" s="26"/>
      <c r="I230" s="25"/>
      <c r="J230" s="25"/>
      <c r="K230" s="25"/>
      <c r="L230" s="25"/>
      <c r="M230" s="25"/>
    </row>
    <row r="231" spans="1:13" x14ac:dyDescent="0.25">
      <c r="A231" s="25"/>
      <c r="B231" s="25"/>
      <c r="C231" s="25"/>
      <c r="D231" s="25"/>
      <c r="E231" s="25"/>
      <c r="F231" s="25"/>
      <c r="G231" s="25"/>
      <c r="H231" s="26"/>
      <c r="I231" s="25"/>
      <c r="J231" s="25"/>
      <c r="K231" s="25"/>
      <c r="L231" s="25"/>
      <c r="M231" s="25"/>
    </row>
    <row r="232" spans="1:13" x14ac:dyDescent="0.25">
      <c r="A232" s="25"/>
      <c r="B232" s="25"/>
      <c r="C232" s="25"/>
      <c r="D232" s="25"/>
      <c r="E232" s="25"/>
      <c r="F232" s="25"/>
      <c r="G232" s="25"/>
      <c r="H232" s="26"/>
      <c r="I232" s="25"/>
      <c r="J232" s="25"/>
      <c r="K232" s="25"/>
      <c r="L232" s="25"/>
      <c r="M232" s="25"/>
    </row>
    <row r="233" spans="1:13" x14ac:dyDescent="0.25">
      <c r="A233" s="25"/>
      <c r="B233" s="25"/>
      <c r="C233" s="25"/>
      <c r="D233" s="25"/>
      <c r="E233" s="25"/>
      <c r="F233" s="25"/>
      <c r="G233" s="25"/>
      <c r="H233" s="26"/>
      <c r="I233" s="25"/>
      <c r="J233" s="25"/>
      <c r="K233" s="25"/>
      <c r="L233" s="25"/>
      <c r="M233" s="25"/>
    </row>
    <row r="234" spans="1:13" x14ac:dyDescent="0.25">
      <c r="A234" s="25"/>
      <c r="B234" s="25"/>
      <c r="C234" s="25"/>
      <c r="D234" s="25"/>
      <c r="E234" s="25"/>
      <c r="F234" s="25"/>
      <c r="G234" s="25"/>
      <c r="H234" s="26"/>
      <c r="I234" s="25"/>
      <c r="J234" s="25"/>
      <c r="K234" s="25"/>
      <c r="L234" s="25"/>
      <c r="M234" s="25"/>
    </row>
    <row r="235" spans="1:13" x14ac:dyDescent="0.25">
      <c r="A235" s="25"/>
      <c r="B235" s="25"/>
      <c r="C235" s="25"/>
      <c r="D235" s="25"/>
      <c r="E235" s="25"/>
      <c r="F235" s="25"/>
      <c r="G235" s="25"/>
      <c r="H235" s="26"/>
      <c r="I235" s="25"/>
      <c r="J235" s="25"/>
      <c r="K235" s="25"/>
      <c r="L235" s="25"/>
      <c r="M235" s="25"/>
    </row>
    <row r="236" spans="1:13" x14ac:dyDescent="0.25">
      <c r="A236" s="25"/>
      <c r="B236" s="25"/>
      <c r="C236" s="25"/>
      <c r="D236" s="25"/>
      <c r="E236" s="25"/>
      <c r="F236" s="25"/>
      <c r="G236" s="25"/>
      <c r="H236" s="26"/>
      <c r="I236" s="25"/>
      <c r="J236" s="25"/>
      <c r="K236" s="25"/>
      <c r="L236" s="25"/>
      <c r="M236" s="25"/>
    </row>
    <row r="237" spans="1:13" x14ac:dyDescent="0.25">
      <c r="A237" s="25"/>
      <c r="B237" s="25"/>
      <c r="C237" s="25"/>
      <c r="D237" s="25"/>
      <c r="E237" s="25"/>
      <c r="F237" s="25"/>
      <c r="G237" s="25"/>
      <c r="H237" s="26"/>
      <c r="I237" s="25"/>
      <c r="J237" s="25"/>
      <c r="K237" s="25"/>
      <c r="L237" s="25"/>
      <c r="M237" s="25"/>
    </row>
    <row r="238" spans="1:13" x14ac:dyDescent="0.25">
      <c r="A238" s="25"/>
      <c r="B238" s="25"/>
      <c r="C238" s="25"/>
      <c r="D238" s="25"/>
      <c r="E238" s="25"/>
      <c r="F238" s="25"/>
      <c r="G238" s="25"/>
      <c r="H238" s="26"/>
      <c r="I238" s="25"/>
      <c r="J238" s="25"/>
      <c r="K238" s="25"/>
      <c r="L238" s="25"/>
      <c r="M238" s="25"/>
    </row>
    <row r="239" spans="1:13" x14ac:dyDescent="0.25">
      <c r="A239" s="25"/>
      <c r="B239" s="25"/>
      <c r="C239" s="25"/>
      <c r="D239" s="25"/>
      <c r="E239" s="25"/>
      <c r="F239" s="25"/>
      <c r="G239" s="25"/>
      <c r="H239" s="26"/>
      <c r="I239" s="25"/>
      <c r="J239" s="25"/>
      <c r="K239" s="25"/>
      <c r="L239" s="25"/>
      <c r="M239" s="25"/>
    </row>
    <row r="240" spans="1:13" x14ac:dyDescent="0.25">
      <c r="A240" s="25"/>
      <c r="B240" s="25"/>
      <c r="C240" s="25"/>
      <c r="D240" s="25"/>
      <c r="E240" s="25"/>
      <c r="F240" s="25"/>
      <c r="G240" s="25"/>
      <c r="H240" s="26"/>
      <c r="I240" s="25"/>
      <c r="J240" s="25"/>
      <c r="K240" s="25"/>
      <c r="L240" s="25"/>
      <c r="M240" s="25"/>
    </row>
    <row r="241" spans="1:13" x14ac:dyDescent="0.25">
      <c r="A241" s="25"/>
      <c r="B241" s="25"/>
      <c r="C241" s="25"/>
      <c r="D241" s="25"/>
      <c r="E241" s="25"/>
      <c r="F241" s="25"/>
      <c r="G241" s="25"/>
      <c r="H241" s="26"/>
      <c r="I241" s="25"/>
      <c r="J241" s="25"/>
      <c r="K241" s="25"/>
      <c r="L241" s="25"/>
      <c r="M241" s="25"/>
    </row>
    <row r="242" spans="1:13" x14ac:dyDescent="0.25">
      <c r="A242" s="25"/>
      <c r="B242" s="25"/>
      <c r="C242" s="25"/>
      <c r="D242" s="25"/>
      <c r="E242" s="25"/>
      <c r="F242" s="25"/>
      <c r="G242" s="25"/>
      <c r="H242" s="26"/>
      <c r="I242" s="25"/>
      <c r="J242" s="25"/>
      <c r="K242" s="25"/>
      <c r="L242" s="25"/>
      <c r="M242" s="25"/>
    </row>
    <row r="243" spans="1:13" x14ac:dyDescent="0.25">
      <c r="A243" s="25"/>
      <c r="B243" s="25"/>
      <c r="C243" s="25"/>
      <c r="D243" s="25"/>
      <c r="E243" s="25"/>
      <c r="F243" s="25"/>
      <c r="G243" s="25"/>
      <c r="H243" s="26"/>
      <c r="I243" s="25"/>
      <c r="J243" s="25"/>
      <c r="K243" s="25"/>
      <c r="L243" s="25"/>
      <c r="M243" s="25"/>
    </row>
    <row r="244" spans="1:13" x14ac:dyDescent="0.25">
      <c r="A244" s="25"/>
      <c r="B244" s="25"/>
      <c r="C244" s="25"/>
      <c r="D244" s="25"/>
      <c r="E244" s="25"/>
      <c r="F244" s="25"/>
      <c r="G244" s="25"/>
      <c r="H244" s="26"/>
      <c r="I244" s="25"/>
      <c r="J244" s="25"/>
      <c r="K244" s="25"/>
      <c r="L244" s="25"/>
      <c r="M244" s="25"/>
    </row>
    <row r="245" spans="1:13" x14ac:dyDescent="0.25">
      <c r="A245" s="25"/>
      <c r="B245" s="25"/>
      <c r="C245" s="25"/>
      <c r="D245" s="25"/>
      <c r="E245" s="25"/>
      <c r="F245" s="25"/>
      <c r="G245" s="25"/>
      <c r="H245" s="26"/>
      <c r="I245" s="25"/>
      <c r="J245" s="25"/>
      <c r="K245" s="25"/>
      <c r="L245" s="25"/>
      <c r="M245" s="25"/>
    </row>
    <row r="246" spans="1:13" x14ac:dyDescent="0.25">
      <c r="A246" s="25"/>
      <c r="B246" s="25"/>
      <c r="C246" s="25"/>
      <c r="D246" s="25"/>
      <c r="E246" s="25"/>
      <c r="F246" s="25"/>
      <c r="G246" s="25"/>
      <c r="H246" s="26"/>
      <c r="I246" s="25"/>
      <c r="J246" s="25"/>
      <c r="K246" s="25"/>
      <c r="L246" s="25"/>
      <c r="M246" s="25"/>
    </row>
    <row r="247" spans="1:13" x14ac:dyDescent="0.25">
      <c r="A247" s="25"/>
      <c r="B247" s="25"/>
      <c r="C247" s="25"/>
      <c r="D247" s="25"/>
      <c r="E247" s="25"/>
      <c r="F247" s="25"/>
      <c r="G247" s="25"/>
      <c r="H247" s="26"/>
      <c r="I247" s="25"/>
      <c r="J247" s="25"/>
      <c r="K247" s="25"/>
      <c r="L247" s="25"/>
      <c r="M247" s="25"/>
    </row>
    <row r="248" spans="1:13" x14ac:dyDescent="0.25">
      <c r="A248" s="25"/>
      <c r="B248" s="25"/>
      <c r="C248" s="25"/>
      <c r="D248" s="25"/>
      <c r="E248" s="25"/>
      <c r="F248" s="25"/>
      <c r="G248" s="25"/>
      <c r="H248" s="26"/>
      <c r="I248" s="25"/>
      <c r="J248" s="25"/>
      <c r="K248" s="25"/>
      <c r="L248" s="25"/>
      <c r="M248" s="25"/>
    </row>
    <row r="249" spans="1:13" x14ac:dyDescent="0.25">
      <c r="A249" s="25"/>
      <c r="B249" s="25"/>
      <c r="C249" s="25"/>
      <c r="D249" s="25"/>
      <c r="E249" s="25"/>
      <c r="F249" s="25"/>
      <c r="G249" s="25"/>
      <c r="H249" s="26"/>
      <c r="I249" s="25"/>
      <c r="J249" s="25"/>
      <c r="K249" s="25"/>
      <c r="L249" s="25"/>
      <c r="M249" s="25"/>
    </row>
    <row r="250" spans="1:13" x14ac:dyDescent="0.25">
      <c r="A250" s="25"/>
      <c r="B250" s="25"/>
      <c r="C250" s="25"/>
      <c r="D250" s="25"/>
      <c r="E250" s="25"/>
      <c r="F250" s="25"/>
      <c r="G250" s="25"/>
      <c r="H250" s="26"/>
      <c r="I250" s="25"/>
      <c r="J250" s="25"/>
      <c r="K250" s="25"/>
      <c r="L250" s="25"/>
      <c r="M250" s="25"/>
    </row>
    <row r="251" spans="1:13" x14ac:dyDescent="0.25">
      <c r="A251" s="25"/>
      <c r="B251" s="25"/>
      <c r="C251" s="25"/>
      <c r="D251" s="25"/>
      <c r="E251" s="25"/>
      <c r="F251" s="25"/>
      <c r="G251" s="25"/>
      <c r="H251" s="26"/>
      <c r="I251" s="25"/>
      <c r="J251" s="25"/>
      <c r="K251" s="25"/>
      <c r="L251" s="25"/>
      <c r="M251" s="25"/>
    </row>
    <row r="252" spans="1:13" x14ac:dyDescent="0.25">
      <c r="A252" s="25"/>
      <c r="B252" s="25"/>
      <c r="C252" s="25"/>
      <c r="D252" s="25"/>
      <c r="E252" s="25"/>
      <c r="F252" s="25"/>
      <c r="G252" s="25"/>
      <c r="H252" s="26"/>
      <c r="I252" s="25"/>
      <c r="J252" s="25"/>
      <c r="K252" s="25"/>
      <c r="L252" s="25"/>
      <c r="M252" s="25"/>
    </row>
    <row r="253" spans="1:13" x14ac:dyDescent="0.25">
      <c r="A253" s="25"/>
      <c r="B253" s="25"/>
      <c r="C253" s="25"/>
      <c r="D253" s="25"/>
      <c r="E253" s="25"/>
      <c r="F253" s="25"/>
      <c r="G253" s="25"/>
      <c r="H253" s="26"/>
      <c r="I253" s="25"/>
      <c r="J253" s="25"/>
      <c r="K253" s="25"/>
      <c r="L253" s="25"/>
      <c r="M253" s="25"/>
    </row>
    <row r="254" spans="1:13" x14ac:dyDescent="0.25">
      <c r="A254" s="25"/>
      <c r="B254" s="25"/>
      <c r="C254" s="25"/>
      <c r="D254" s="25"/>
      <c r="E254" s="25"/>
      <c r="F254" s="25"/>
      <c r="G254" s="25"/>
      <c r="H254" s="26"/>
      <c r="I254" s="25"/>
      <c r="J254" s="25"/>
      <c r="K254" s="25"/>
      <c r="L254" s="25"/>
      <c r="M254" s="25"/>
    </row>
    <row r="255" spans="1:13" x14ac:dyDescent="0.25">
      <c r="A255" s="25"/>
      <c r="B255" s="25"/>
      <c r="C255" s="25"/>
      <c r="D255" s="25"/>
      <c r="E255" s="25"/>
      <c r="F255" s="25"/>
      <c r="G255" s="25"/>
      <c r="H255" s="26"/>
      <c r="I255" s="25"/>
      <c r="J255" s="25"/>
      <c r="K255" s="25"/>
      <c r="L255" s="25"/>
      <c r="M255" s="25"/>
    </row>
    <row r="256" spans="1:13" x14ac:dyDescent="0.25">
      <c r="A256" s="25"/>
      <c r="B256" s="25"/>
      <c r="C256" s="25"/>
      <c r="D256" s="25"/>
      <c r="E256" s="25"/>
      <c r="F256" s="25"/>
      <c r="G256" s="25"/>
      <c r="H256" s="26"/>
      <c r="I256" s="25"/>
      <c r="J256" s="25"/>
      <c r="K256" s="25"/>
      <c r="L256" s="25"/>
      <c r="M256" s="25"/>
    </row>
    <row r="257" spans="1:13" x14ac:dyDescent="0.25">
      <c r="A257" s="25"/>
      <c r="B257" s="25"/>
      <c r="C257" s="25"/>
      <c r="D257" s="25"/>
      <c r="E257" s="25"/>
      <c r="F257" s="25"/>
      <c r="G257" s="25"/>
      <c r="H257" s="26"/>
      <c r="I257" s="25"/>
      <c r="J257" s="25"/>
      <c r="K257" s="25"/>
      <c r="L257" s="25"/>
      <c r="M257" s="25"/>
    </row>
    <row r="258" spans="1:13" x14ac:dyDescent="0.25">
      <c r="A258" s="25"/>
      <c r="B258" s="25"/>
      <c r="C258" s="25"/>
      <c r="D258" s="25"/>
      <c r="E258" s="25"/>
      <c r="F258" s="25"/>
      <c r="G258" s="25"/>
      <c r="H258" s="26"/>
      <c r="I258" s="25"/>
      <c r="J258" s="25"/>
      <c r="K258" s="25"/>
      <c r="L258" s="25"/>
      <c r="M258" s="25"/>
    </row>
    <row r="259" spans="1:13" x14ac:dyDescent="0.25">
      <c r="A259" s="25"/>
      <c r="B259" s="25"/>
      <c r="C259" s="25"/>
      <c r="D259" s="25"/>
      <c r="E259" s="25"/>
      <c r="F259" s="25"/>
      <c r="G259" s="25"/>
      <c r="H259" s="26"/>
      <c r="I259" s="25"/>
      <c r="J259" s="25"/>
      <c r="K259" s="25"/>
      <c r="L259" s="25"/>
      <c r="M259" s="25"/>
    </row>
    <row r="260" spans="1:13" x14ac:dyDescent="0.25">
      <c r="A260" s="25"/>
      <c r="B260" s="25"/>
      <c r="C260" s="25"/>
      <c r="D260" s="25"/>
      <c r="E260" s="25"/>
      <c r="F260" s="25"/>
      <c r="G260" s="25"/>
      <c r="H260" s="26"/>
      <c r="I260" s="25"/>
      <c r="J260" s="25"/>
      <c r="K260" s="25"/>
      <c r="L260" s="25"/>
      <c r="M260" s="25"/>
    </row>
    <row r="261" spans="1:13" x14ac:dyDescent="0.25">
      <c r="A261" s="25"/>
      <c r="B261" s="25"/>
      <c r="C261" s="25"/>
      <c r="D261" s="25"/>
      <c r="E261" s="25"/>
      <c r="F261" s="25"/>
      <c r="G261" s="25"/>
      <c r="H261" s="26"/>
      <c r="I261" s="25"/>
      <c r="J261" s="25"/>
      <c r="K261" s="25"/>
      <c r="L261" s="25"/>
      <c r="M261" s="25"/>
    </row>
    <row r="262" spans="1:13" x14ac:dyDescent="0.25">
      <c r="A262" s="25"/>
      <c r="B262" s="25"/>
      <c r="C262" s="25"/>
      <c r="D262" s="25"/>
      <c r="E262" s="25"/>
      <c r="F262" s="25"/>
      <c r="G262" s="25"/>
      <c r="H262" s="26"/>
      <c r="I262" s="25"/>
      <c r="J262" s="25"/>
      <c r="K262" s="25"/>
      <c r="L262" s="25"/>
      <c r="M262" s="25"/>
    </row>
    <row r="263" spans="1:13" x14ac:dyDescent="0.25">
      <c r="A263" s="25"/>
      <c r="B263" s="25"/>
      <c r="C263" s="25"/>
      <c r="D263" s="25"/>
      <c r="E263" s="25"/>
      <c r="F263" s="25"/>
      <c r="G263" s="25"/>
      <c r="H263" s="26"/>
      <c r="I263" s="25"/>
      <c r="J263" s="25"/>
      <c r="K263" s="25"/>
      <c r="L263" s="25"/>
      <c r="M263" s="25"/>
    </row>
    <row r="264" spans="1:13" x14ac:dyDescent="0.25">
      <c r="A264" s="25"/>
      <c r="B264" s="25"/>
      <c r="C264" s="25"/>
      <c r="D264" s="25"/>
      <c r="E264" s="25"/>
      <c r="F264" s="25"/>
      <c r="G264" s="25"/>
      <c r="H264" s="26"/>
      <c r="I264" s="25"/>
      <c r="J264" s="25"/>
      <c r="K264" s="25"/>
      <c r="L264" s="25"/>
      <c r="M264" s="25"/>
    </row>
    <row r="265" spans="1:13" x14ac:dyDescent="0.25">
      <c r="A265" s="25"/>
      <c r="B265" s="25"/>
      <c r="C265" s="25"/>
      <c r="D265" s="25"/>
      <c r="E265" s="25"/>
      <c r="F265" s="25"/>
      <c r="G265" s="25"/>
      <c r="H265" s="26"/>
      <c r="I265" s="25"/>
      <c r="J265" s="25"/>
      <c r="K265" s="25"/>
      <c r="L265" s="25"/>
      <c r="M265" s="25"/>
    </row>
    <row r="266" spans="1:13" x14ac:dyDescent="0.25">
      <c r="A266" s="25"/>
      <c r="B266" s="25"/>
      <c r="C266" s="25"/>
      <c r="D266" s="25"/>
      <c r="E266" s="25"/>
      <c r="F266" s="25"/>
      <c r="G266" s="25"/>
      <c r="H266" s="26"/>
      <c r="I266" s="25"/>
      <c r="J266" s="25"/>
      <c r="K266" s="25"/>
      <c r="L266" s="25"/>
      <c r="M266" s="25"/>
    </row>
    <row r="267" spans="1:13" x14ac:dyDescent="0.25">
      <c r="A267" s="25"/>
      <c r="B267" s="25"/>
      <c r="C267" s="25"/>
      <c r="D267" s="25"/>
      <c r="E267" s="25"/>
      <c r="F267" s="25"/>
      <c r="G267" s="25"/>
      <c r="H267" s="26"/>
      <c r="I267" s="25"/>
      <c r="J267" s="25"/>
      <c r="K267" s="25"/>
      <c r="L267" s="25"/>
      <c r="M267" s="25"/>
    </row>
    <row r="268" spans="1:13" x14ac:dyDescent="0.25">
      <c r="A268" s="25"/>
      <c r="B268" s="25"/>
      <c r="C268" s="25"/>
      <c r="D268" s="25"/>
      <c r="E268" s="25"/>
      <c r="F268" s="25"/>
      <c r="G268" s="25"/>
      <c r="H268" s="26"/>
      <c r="I268" s="25"/>
      <c r="J268" s="25"/>
      <c r="K268" s="25"/>
      <c r="L268" s="25"/>
      <c r="M268" s="25"/>
    </row>
    <row r="269" spans="1:13" x14ac:dyDescent="0.25">
      <c r="A269" s="25"/>
      <c r="B269" s="25"/>
      <c r="C269" s="25"/>
      <c r="D269" s="25"/>
      <c r="E269" s="25"/>
      <c r="F269" s="25"/>
      <c r="G269" s="25"/>
      <c r="H269" s="26"/>
      <c r="I269" s="25"/>
      <c r="J269" s="25"/>
      <c r="K269" s="25"/>
      <c r="L269" s="25"/>
      <c r="M269" s="25"/>
    </row>
    <row r="270" spans="1:13" x14ac:dyDescent="0.25">
      <c r="A270" s="25"/>
      <c r="B270" s="25"/>
      <c r="C270" s="25"/>
      <c r="D270" s="25"/>
      <c r="E270" s="25"/>
      <c r="F270" s="25"/>
      <c r="G270" s="25"/>
      <c r="H270" s="26"/>
      <c r="I270" s="25"/>
      <c r="J270" s="25"/>
      <c r="K270" s="25"/>
      <c r="L270" s="25"/>
      <c r="M270" s="25"/>
    </row>
    <row r="271" spans="1:13" x14ac:dyDescent="0.25">
      <c r="A271" s="25"/>
      <c r="B271" s="25"/>
      <c r="C271" s="25"/>
      <c r="D271" s="25"/>
      <c r="E271" s="25"/>
      <c r="F271" s="25"/>
      <c r="G271" s="25"/>
      <c r="H271" s="26"/>
      <c r="I271" s="25"/>
      <c r="J271" s="25"/>
      <c r="K271" s="25"/>
      <c r="L271" s="25"/>
      <c r="M271" s="25"/>
    </row>
    <row r="272" spans="1:13" x14ac:dyDescent="0.25">
      <c r="A272" s="25"/>
      <c r="B272" s="25"/>
      <c r="C272" s="25"/>
      <c r="D272" s="25"/>
      <c r="E272" s="25"/>
      <c r="F272" s="25"/>
      <c r="G272" s="25"/>
      <c r="H272" s="26"/>
      <c r="I272" s="25"/>
      <c r="J272" s="25"/>
      <c r="K272" s="25"/>
      <c r="L272" s="25"/>
      <c r="M272" s="25"/>
    </row>
    <row r="273" spans="1:13" x14ac:dyDescent="0.25">
      <c r="A273" s="25"/>
      <c r="B273" s="25"/>
      <c r="C273" s="25"/>
      <c r="D273" s="25"/>
      <c r="E273" s="25"/>
      <c r="F273" s="25"/>
      <c r="G273" s="25"/>
      <c r="H273" s="26"/>
      <c r="I273" s="25"/>
      <c r="J273" s="25"/>
      <c r="K273" s="25"/>
      <c r="L273" s="25"/>
      <c r="M273" s="25"/>
    </row>
    <row r="274" spans="1:13" x14ac:dyDescent="0.25">
      <c r="A274" s="25"/>
      <c r="B274" s="25"/>
      <c r="C274" s="25"/>
      <c r="D274" s="25"/>
      <c r="E274" s="25"/>
      <c r="F274" s="25"/>
      <c r="G274" s="25"/>
      <c r="H274" s="26"/>
      <c r="I274" s="25"/>
      <c r="J274" s="25"/>
      <c r="K274" s="25"/>
      <c r="L274" s="25"/>
      <c r="M274" s="25"/>
    </row>
    <row r="275" spans="1:13" x14ac:dyDescent="0.25">
      <c r="A275" s="25"/>
      <c r="B275" s="25"/>
      <c r="C275" s="25"/>
      <c r="D275" s="25"/>
      <c r="E275" s="25"/>
      <c r="F275" s="25"/>
      <c r="G275" s="25"/>
      <c r="H275" s="26"/>
      <c r="I275" s="25"/>
      <c r="J275" s="25"/>
      <c r="K275" s="25"/>
      <c r="L275" s="25"/>
      <c r="M275" s="25"/>
    </row>
    <row r="276" spans="1:13" x14ac:dyDescent="0.25">
      <c r="A276" s="25"/>
      <c r="B276" s="25"/>
      <c r="C276" s="25"/>
      <c r="D276" s="25"/>
      <c r="E276" s="25"/>
      <c r="F276" s="25"/>
      <c r="G276" s="25"/>
      <c r="H276" s="26"/>
      <c r="I276" s="25"/>
      <c r="J276" s="25"/>
      <c r="K276" s="25"/>
      <c r="L276" s="25"/>
      <c r="M276" s="25"/>
    </row>
    <row r="277" spans="1:13" x14ac:dyDescent="0.25">
      <c r="A277" s="25"/>
      <c r="B277" s="25"/>
      <c r="C277" s="25"/>
      <c r="D277" s="25"/>
      <c r="E277" s="25"/>
      <c r="F277" s="25"/>
      <c r="G277" s="25"/>
      <c r="H277" s="26"/>
      <c r="I277" s="25"/>
      <c r="J277" s="25"/>
      <c r="K277" s="25"/>
      <c r="L277" s="25"/>
      <c r="M277" s="25"/>
    </row>
    <row r="278" spans="1:13" x14ac:dyDescent="0.25">
      <c r="A278" s="25"/>
      <c r="B278" s="25"/>
      <c r="C278" s="25"/>
      <c r="D278" s="25"/>
      <c r="E278" s="25"/>
      <c r="F278" s="25"/>
      <c r="G278" s="25"/>
      <c r="H278" s="26"/>
      <c r="I278" s="25"/>
      <c r="J278" s="25"/>
      <c r="K278" s="25"/>
      <c r="L278" s="25"/>
      <c r="M278" s="25"/>
    </row>
    <row r="279" spans="1:13" x14ac:dyDescent="0.25">
      <c r="A279" s="25"/>
      <c r="B279" s="25"/>
      <c r="C279" s="25"/>
      <c r="D279" s="25"/>
      <c r="E279" s="25"/>
      <c r="F279" s="25"/>
      <c r="G279" s="25"/>
      <c r="H279" s="26"/>
      <c r="I279" s="25"/>
      <c r="J279" s="25"/>
      <c r="K279" s="25"/>
      <c r="L279" s="25"/>
      <c r="M279" s="25"/>
    </row>
    <row r="280" spans="1:13" x14ac:dyDescent="0.25">
      <c r="A280" s="25"/>
      <c r="B280" s="25"/>
      <c r="C280" s="25"/>
      <c r="D280" s="25"/>
      <c r="E280" s="25"/>
      <c r="F280" s="25"/>
      <c r="G280" s="25"/>
      <c r="H280" s="26"/>
      <c r="I280" s="25"/>
      <c r="J280" s="25"/>
      <c r="K280" s="25"/>
      <c r="L280" s="25"/>
      <c r="M280" s="25"/>
    </row>
    <row r="281" spans="1:13" x14ac:dyDescent="0.25">
      <c r="A281" s="25"/>
      <c r="B281" s="25"/>
      <c r="C281" s="25"/>
      <c r="D281" s="25"/>
      <c r="E281" s="25"/>
      <c r="F281" s="25"/>
      <c r="G281" s="25"/>
      <c r="H281" s="26"/>
      <c r="I281" s="25"/>
      <c r="J281" s="25"/>
      <c r="K281" s="25"/>
      <c r="L281" s="25"/>
      <c r="M281" s="25"/>
    </row>
    <row r="282" spans="1:13" x14ac:dyDescent="0.25">
      <c r="A282" s="25"/>
      <c r="B282" s="25"/>
      <c r="C282" s="25"/>
      <c r="D282" s="25"/>
      <c r="E282" s="25"/>
      <c r="F282" s="25"/>
      <c r="G282" s="25"/>
      <c r="H282" s="26"/>
      <c r="I282" s="25"/>
      <c r="J282" s="25"/>
      <c r="K282" s="25"/>
      <c r="L282" s="25"/>
      <c r="M282" s="25"/>
    </row>
    <row r="283" spans="1:13" x14ac:dyDescent="0.25">
      <c r="A283" s="25"/>
      <c r="B283" s="25"/>
      <c r="C283" s="25"/>
      <c r="D283" s="25"/>
      <c r="E283" s="25"/>
      <c r="F283" s="25"/>
      <c r="G283" s="25"/>
      <c r="H283" s="26"/>
      <c r="I283" s="25"/>
      <c r="J283" s="25"/>
      <c r="K283" s="25"/>
      <c r="L283" s="25"/>
      <c r="M283" s="25"/>
    </row>
    <row r="284" spans="1:13" x14ac:dyDescent="0.25">
      <c r="A284" s="25"/>
      <c r="B284" s="25"/>
      <c r="C284" s="25"/>
      <c r="D284" s="25"/>
      <c r="E284" s="25"/>
      <c r="F284" s="25"/>
      <c r="G284" s="25"/>
      <c r="H284" s="26"/>
      <c r="I284" s="25"/>
      <c r="J284" s="25"/>
      <c r="K284" s="25"/>
      <c r="L284" s="25"/>
      <c r="M284" s="25"/>
    </row>
    <row r="285" spans="1:13" x14ac:dyDescent="0.25">
      <c r="A285" s="25"/>
      <c r="B285" s="25"/>
      <c r="C285" s="25"/>
      <c r="D285" s="25"/>
      <c r="E285" s="25"/>
      <c r="F285" s="25"/>
      <c r="G285" s="25"/>
      <c r="H285" s="26"/>
      <c r="I285" s="25"/>
      <c r="J285" s="25"/>
      <c r="K285" s="25"/>
      <c r="L285" s="25"/>
      <c r="M285" s="25"/>
    </row>
    <row r="286" spans="1:13" x14ac:dyDescent="0.25">
      <c r="A286" s="25"/>
      <c r="B286" s="25"/>
      <c r="C286" s="25"/>
      <c r="D286" s="25"/>
      <c r="E286" s="25"/>
      <c r="F286" s="25"/>
      <c r="G286" s="25"/>
      <c r="H286" s="26"/>
      <c r="I286" s="25"/>
      <c r="J286" s="25"/>
      <c r="K286" s="25"/>
      <c r="L286" s="25"/>
      <c r="M286" s="25"/>
    </row>
    <row r="287" spans="1:13" x14ac:dyDescent="0.25">
      <c r="A287" s="25"/>
      <c r="B287" s="25"/>
      <c r="C287" s="25"/>
      <c r="D287" s="25"/>
      <c r="E287" s="25"/>
      <c r="F287" s="25"/>
      <c r="G287" s="25"/>
      <c r="H287" s="26"/>
      <c r="I287" s="25"/>
      <c r="J287" s="25"/>
      <c r="K287" s="25"/>
      <c r="L287" s="25"/>
      <c r="M287" s="25"/>
    </row>
    <row r="288" spans="1:13" x14ac:dyDescent="0.25">
      <c r="A288" s="25"/>
      <c r="B288" s="25"/>
      <c r="C288" s="25"/>
      <c r="D288" s="25"/>
      <c r="E288" s="25"/>
      <c r="F288" s="25"/>
      <c r="G288" s="25"/>
      <c r="H288" s="26"/>
      <c r="I288" s="25"/>
      <c r="J288" s="25"/>
      <c r="K288" s="25"/>
      <c r="L288" s="25"/>
      <c r="M288" s="25"/>
    </row>
    <row r="289" spans="1:13" x14ac:dyDescent="0.25">
      <c r="A289" s="25"/>
      <c r="B289" s="25"/>
      <c r="C289" s="25"/>
      <c r="D289" s="25"/>
      <c r="E289" s="25"/>
      <c r="F289" s="25"/>
      <c r="G289" s="25"/>
      <c r="H289" s="26"/>
      <c r="I289" s="25"/>
      <c r="J289" s="25"/>
      <c r="K289" s="25"/>
      <c r="L289" s="25"/>
      <c r="M289" s="25"/>
    </row>
    <row r="290" spans="1:13" x14ac:dyDescent="0.25">
      <c r="A290" s="25"/>
      <c r="B290" s="25"/>
      <c r="C290" s="25"/>
      <c r="D290" s="25"/>
      <c r="E290" s="25"/>
      <c r="F290" s="25"/>
      <c r="G290" s="25"/>
      <c r="H290" s="26"/>
      <c r="I290" s="25"/>
      <c r="J290" s="25"/>
      <c r="K290" s="25"/>
      <c r="L290" s="25"/>
      <c r="M290" s="25"/>
    </row>
    <row r="291" spans="1:13" x14ac:dyDescent="0.25">
      <c r="A291" s="25"/>
      <c r="B291" s="25"/>
      <c r="C291" s="25"/>
      <c r="D291" s="25"/>
      <c r="E291" s="25"/>
      <c r="F291" s="25"/>
      <c r="G291" s="25"/>
      <c r="H291" s="26"/>
      <c r="I291" s="25"/>
      <c r="J291" s="25"/>
      <c r="K291" s="25"/>
      <c r="L291" s="25"/>
      <c r="M291" s="25"/>
    </row>
    <row r="292" spans="1:13" x14ac:dyDescent="0.25">
      <c r="A292" s="25"/>
      <c r="B292" s="25"/>
      <c r="C292" s="25"/>
      <c r="D292" s="25"/>
      <c r="E292" s="25"/>
      <c r="F292" s="25"/>
      <c r="G292" s="25"/>
      <c r="H292" s="26"/>
      <c r="I292" s="25"/>
      <c r="J292" s="25"/>
      <c r="K292" s="25"/>
      <c r="L292" s="25"/>
      <c r="M292" s="25"/>
    </row>
    <row r="293" spans="1:13" x14ac:dyDescent="0.25">
      <c r="A293" s="25"/>
      <c r="B293" s="25"/>
      <c r="C293" s="25"/>
      <c r="D293" s="25"/>
      <c r="E293" s="25"/>
      <c r="F293" s="25"/>
      <c r="G293" s="25"/>
      <c r="H293" s="26"/>
      <c r="I293" s="25"/>
      <c r="J293" s="25"/>
      <c r="K293" s="25"/>
      <c r="L293" s="25"/>
      <c r="M293" s="25"/>
    </row>
    <row r="294" spans="1:13" x14ac:dyDescent="0.25">
      <c r="A294" s="25"/>
      <c r="B294" s="25"/>
      <c r="C294" s="25"/>
      <c r="D294" s="25"/>
      <c r="E294" s="25"/>
      <c r="F294" s="25"/>
      <c r="G294" s="25"/>
      <c r="H294" s="26"/>
      <c r="I294" s="25"/>
      <c r="J294" s="25"/>
      <c r="K294" s="25"/>
      <c r="L294" s="25"/>
      <c r="M294" s="25"/>
    </row>
    <row r="295" spans="1:13" x14ac:dyDescent="0.25">
      <c r="A295" s="25"/>
      <c r="B295" s="25"/>
      <c r="C295" s="25"/>
      <c r="D295" s="25"/>
      <c r="E295" s="25"/>
      <c r="F295" s="25"/>
      <c r="G295" s="25"/>
      <c r="H295" s="26"/>
      <c r="I295" s="25"/>
      <c r="J295" s="25"/>
      <c r="K295" s="25"/>
      <c r="L295" s="25"/>
      <c r="M295" s="25"/>
    </row>
    <row r="296" spans="1:13" x14ac:dyDescent="0.25">
      <c r="A296" s="25"/>
      <c r="B296" s="25"/>
      <c r="C296" s="25"/>
      <c r="D296" s="25"/>
      <c r="E296" s="25"/>
      <c r="F296" s="25"/>
      <c r="G296" s="25"/>
      <c r="H296" s="26"/>
      <c r="I296" s="25"/>
      <c r="J296" s="25"/>
      <c r="K296" s="25"/>
      <c r="L296" s="25"/>
      <c r="M296" s="25"/>
    </row>
    <row r="297" spans="1:13" x14ac:dyDescent="0.25">
      <c r="A297" s="25"/>
      <c r="B297" s="25"/>
      <c r="C297" s="25"/>
      <c r="D297" s="25"/>
      <c r="E297" s="25"/>
      <c r="F297" s="25"/>
      <c r="G297" s="25"/>
      <c r="H297" s="26"/>
      <c r="I297" s="25"/>
      <c r="J297" s="25"/>
      <c r="K297" s="25"/>
      <c r="L297" s="25"/>
      <c r="M297" s="25"/>
    </row>
    <row r="298" spans="1:13" x14ac:dyDescent="0.25">
      <c r="A298" s="25"/>
      <c r="B298" s="25"/>
      <c r="C298" s="25"/>
      <c r="D298" s="25"/>
      <c r="E298" s="25"/>
      <c r="F298" s="25"/>
      <c r="G298" s="25"/>
      <c r="H298" s="26"/>
      <c r="I298" s="25"/>
      <c r="J298" s="25"/>
      <c r="K298" s="25"/>
      <c r="L298" s="25"/>
      <c r="M298" s="25"/>
    </row>
    <row r="299" spans="1:13" x14ac:dyDescent="0.25">
      <c r="A299" s="25"/>
      <c r="B299" s="25"/>
      <c r="C299" s="25"/>
      <c r="D299" s="25"/>
      <c r="E299" s="25"/>
      <c r="F299" s="25"/>
      <c r="G299" s="25"/>
      <c r="H299" s="26"/>
      <c r="I299" s="25"/>
      <c r="J299" s="25"/>
      <c r="K299" s="25"/>
      <c r="L299" s="25"/>
      <c r="M299" s="25"/>
    </row>
    <row r="300" spans="1:13" x14ac:dyDescent="0.25">
      <c r="A300" s="25"/>
      <c r="B300" s="25"/>
      <c r="C300" s="25"/>
      <c r="D300" s="25"/>
      <c r="E300" s="25"/>
      <c r="F300" s="25"/>
      <c r="G300" s="25"/>
      <c r="H300" s="26"/>
      <c r="I300" s="25"/>
      <c r="J300" s="25"/>
      <c r="K300" s="25"/>
      <c r="L300" s="25"/>
      <c r="M300" s="25"/>
    </row>
    <row r="301" spans="1:13" x14ac:dyDescent="0.25">
      <c r="A301" s="25"/>
      <c r="B301" s="25"/>
      <c r="C301" s="25"/>
      <c r="D301" s="25"/>
      <c r="E301" s="25"/>
      <c r="F301" s="25"/>
      <c r="G301" s="25"/>
      <c r="H301" s="26"/>
      <c r="I301" s="25"/>
      <c r="J301" s="25"/>
      <c r="K301" s="25"/>
      <c r="L301" s="25"/>
      <c r="M301" s="25"/>
    </row>
    <row r="302" spans="1:13" x14ac:dyDescent="0.25">
      <c r="A302" s="25"/>
      <c r="B302" s="25"/>
      <c r="C302" s="25"/>
      <c r="D302" s="25"/>
      <c r="E302" s="25"/>
      <c r="F302" s="25"/>
      <c r="G302" s="25"/>
      <c r="H302" s="26"/>
      <c r="I302" s="25"/>
      <c r="J302" s="25"/>
      <c r="K302" s="25"/>
      <c r="L302" s="25"/>
      <c r="M302" s="25"/>
    </row>
    <row r="303" spans="1:13" x14ac:dyDescent="0.25">
      <c r="A303" s="25"/>
      <c r="B303" s="25"/>
      <c r="C303" s="25"/>
      <c r="D303" s="25"/>
      <c r="E303" s="25"/>
      <c r="F303" s="25"/>
      <c r="G303" s="25"/>
      <c r="H303" s="26"/>
      <c r="I303" s="25"/>
      <c r="J303" s="25"/>
      <c r="K303" s="25"/>
      <c r="L303" s="25"/>
      <c r="M303" s="25"/>
    </row>
    <row r="304" spans="1:13" x14ac:dyDescent="0.25">
      <c r="A304" s="25"/>
      <c r="B304" s="25"/>
      <c r="C304" s="25"/>
      <c r="D304" s="25"/>
      <c r="E304" s="25"/>
      <c r="F304" s="25"/>
      <c r="G304" s="25"/>
      <c r="H304" s="26"/>
      <c r="I304" s="25"/>
      <c r="J304" s="25"/>
      <c r="K304" s="25"/>
      <c r="L304" s="25"/>
      <c r="M304" s="25"/>
    </row>
    <row r="305" spans="1:13" x14ac:dyDescent="0.25">
      <c r="A305" s="25"/>
      <c r="B305" s="25"/>
      <c r="C305" s="25"/>
      <c r="D305" s="25"/>
      <c r="E305" s="25"/>
      <c r="F305" s="25"/>
      <c r="G305" s="25"/>
      <c r="H305" s="26"/>
      <c r="I305" s="25"/>
      <c r="J305" s="25"/>
      <c r="K305" s="25"/>
      <c r="L305" s="25"/>
      <c r="M305" s="25"/>
    </row>
    <row r="306" spans="1:13" x14ac:dyDescent="0.25">
      <c r="A306" s="25"/>
      <c r="B306" s="25"/>
      <c r="C306" s="25"/>
      <c r="D306" s="25"/>
      <c r="E306" s="25"/>
      <c r="F306" s="25"/>
      <c r="G306" s="25"/>
      <c r="H306" s="26"/>
      <c r="I306" s="25"/>
      <c r="J306" s="25"/>
      <c r="K306" s="25"/>
      <c r="L306" s="25"/>
      <c r="M306" s="25"/>
    </row>
    <row r="307" spans="1:13" x14ac:dyDescent="0.25">
      <c r="A307" s="25"/>
      <c r="B307" s="25"/>
      <c r="C307" s="25"/>
      <c r="D307" s="25"/>
      <c r="E307" s="25"/>
      <c r="F307" s="25"/>
      <c r="G307" s="25"/>
      <c r="H307" s="26"/>
      <c r="I307" s="25"/>
      <c r="J307" s="25"/>
      <c r="K307" s="25"/>
      <c r="L307" s="25"/>
      <c r="M307" s="25"/>
    </row>
    <row r="308" spans="1:13" x14ac:dyDescent="0.25">
      <c r="A308" s="25"/>
      <c r="B308" s="25"/>
      <c r="C308" s="25"/>
      <c r="D308" s="25"/>
      <c r="E308" s="25"/>
      <c r="F308" s="25"/>
      <c r="G308" s="25"/>
      <c r="H308" s="26"/>
      <c r="I308" s="25"/>
      <c r="J308" s="25"/>
      <c r="K308" s="25"/>
      <c r="L308" s="25"/>
      <c r="M308" s="25"/>
    </row>
    <row r="309" spans="1:13" x14ac:dyDescent="0.25">
      <c r="A309" s="25"/>
      <c r="B309" s="25"/>
      <c r="C309" s="25"/>
      <c r="D309" s="25"/>
      <c r="E309" s="25"/>
      <c r="F309" s="25"/>
      <c r="G309" s="25"/>
      <c r="H309" s="26"/>
      <c r="I309" s="25"/>
      <c r="J309" s="25"/>
      <c r="K309" s="25"/>
      <c r="L309" s="25"/>
      <c r="M309" s="25"/>
    </row>
    <row r="310" spans="1:13" x14ac:dyDescent="0.25">
      <c r="A310" s="25"/>
      <c r="B310" s="25"/>
      <c r="C310" s="25"/>
      <c r="D310" s="25"/>
      <c r="E310" s="25"/>
      <c r="F310" s="25"/>
      <c r="G310" s="25"/>
      <c r="H310" s="26"/>
      <c r="I310" s="25"/>
      <c r="J310" s="25"/>
      <c r="K310" s="25"/>
      <c r="L310" s="25"/>
      <c r="M310" s="25"/>
    </row>
    <row r="311" spans="1:13" x14ac:dyDescent="0.25">
      <c r="A311" s="25"/>
      <c r="B311" s="25"/>
      <c r="C311" s="25"/>
      <c r="D311" s="25"/>
      <c r="E311" s="25"/>
      <c r="F311" s="25"/>
      <c r="G311" s="25"/>
      <c r="H311" s="26"/>
      <c r="I311" s="25"/>
      <c r="J311" s="25"/>
      <c r="K311" s="25"/>
      <c r="L311" s="25"/>
      <c r="M311" s="25"/>
    </row>
    <row r="312" spans="1:13" x14ac:dyDescent="0.25">
      <c r="A312" s="25"/>
      <c r="B312" s="25"/>
      <c r="C312" s="25"/>
      <c r="D312" s="25"/>
      <c r="E312" s="25"/>
      <c r="F312" s="25"/>
      <c r="G312" s="25"/>
      <c r="H312" s="26"/>
      <c r="I312" s="25"/>
      <c r="J312" s="25"/>
      <c r="K312" s="25"/>
      <c r="L312" s="25"/>
      <c r="M312" s="25"/>
    </row>
    <row r="313" spans="1:13" x14ac:dyDescent="0.25">
      <c r="A313" s="25"/>
      <c r="B313" s="25"/>
      <c r="C313" s="25"/>
      <c r="D313" s="25"/>
      <c r="E313" s="25"/>
      <c r="F313" s="25"/>
      <c r="G313" s="25"/>
      <c r="H313" s="26"/>
      <c r="I313" s="25"/>
      <c r="J313" s="25"/>
      <c r="K313" s="25"/>
      <c r="L313" s="25"/>
      <c r="M313" s="25"/>
    </row>
    <row r="314" spans="1:13" x14ac:dyDescent="0.25">
      <c r="A314" s="25"/>
      <c r="B314" s="25"/>
      <c r="C314" s="25"/>
      <c r="D314" s="25"/>
      <c r="E314" s="25"/>
      <c r="F314" s="25"/>
      <c r="G314" s="25"/>
      <c r="H314" s="26"/>
      <c r="I314" s="25"/>
      <c r="J314" s="25"/>
      <c r="K314" s="25"/>
      <c r="L314" s="25"/>
      <c r="M314" s="25"/>
    </row>
    <row r="315" spans="1:13" x14ac:dyDescent="0.25">
      <c r="A315" s="25"/>
      <c r="B315" s="25"/>
      <c r="C315" s="25"/>
      <c r="D315" s="25"/>
      <c r="E315" s="25"/>
      <c r="F315" s="25"/>
      <c r="G315" s="25"/>
      <c r="H315" s="26"/>
      <c r="I315" s="25"/>
      <c r="J315" s="25"/>
      <c r="K315" s="25"/>
      <c r="L315" s="25"/>
      <c r="M315" s="25"/>
    </row>
    <row r="316" spans="1:13" x14ac:dyDescent="0.25">
      <c r="A316" s="25"/>
      <c r="B316" s="25"/>
      <c r="C316" s="25"/>
      <c r="D316" s="25"/>
      <c r="E316" s="25"/>
      <c r="F316" s="25"/>
      <c r="G316" s="25"/>
      <c r="H316" s="26"/>
      <c r="I316" s="25"/>
      <c r="J316" s="25"/>
      <c r="K316" s="25"/>
      <c r="L316" s="25"/>
      <c r="M316" s="25"/>
    </row>
    <row r="317" spans="1:13" x14ac:dyDescent="0.25">
      <c r="A317" s="25"/>
      <c r="B317" s="25"/>
      <c r="C317" s="25"/>
      <c r="D317" s="25"/>
      <c r="E317" s="25"/>
      <c r="F317" s="25"/>
      <c r="G317" s="25"/>
      <c r="H317" s="26"/>
      <c r="I317" s="25"/>
      <c r="J317" s="25"/>
      <c r="K317" s="25"/>
      <c r="L317" s="25"/>
      <c r="M317" s="25"/>
    </row>
    <row r="318" spans="1:13" x14ac:dyDescent="0.25">
      <c r="A318" s="25"/>
      <c r="B318" s="25"/>
      <c r="C318" s="25"/>
      <c r="D318" s="25"/>
      <c r="E318" s="25"/>
      <c r="F318" s="25"/>
      <c r="G318" s="25"/>
      <c r="H318" s="26"/>
      <c r="I318" s="25"/>
      <c r="J318" s="25"/>
      <c r="K318" s="25"/>
      <c r="L318" s="25"/>
      <c r="M318" s="25"/>
    </row>
    <row r="319" spans="1:13" x14ac:dyDescent="0.25">
      <c r="A319" s="25"/>
      <c r="B319" s="25"/>
      <c r="C319" s="25"/>
      <c r="D319" s="25"/>
      <c r="E319" s="25"/>
      <c r="F319" s="25"/>
      <c r="G319" s="25"/>
      <c r="H319" s="26"/>
      <c r="I319" s="25"/>
      <c r="J319" s="25"/>
      <c r="K319" s="25"/>
      <c r="L319" s="25"/>
      <c r="M319" s="25"/>
    </row>
    <row r="320" spans="1:13" x14ac:dyDescent="0.25">
      <c r="A320" s="25"/>
      <c r="B320" s="25"/>
      <c r="C320" s="25"/>
      <c r="D320" s="25"/>
      <c r="E320" s="25"/>
      <c r="F320" s="25"/>
      <c r="G320" s="25"/>
      <c r="H320" s="26"/>
      <c r="I320" s="25"/>
      <c r="J320" s="25"/>
      <c r="K320" s="25"/>
      <c r="L320" s="25"/>
      <c r="M320" s="25"/>
    </row>
    <row r="321" spans="1:13" x14ac:dyDescent="0.25">
      <c r="A321" s="25"/>
      <c r="B321" s="25"/>
      <c r="C321" s="25"/>
      <c r="D321" s="25"/>
      <c r="E321" s="25"/>
      <c r="F321" s="25"/>
      <c r="G321" s="25"/>
      <c r="H321" s="26"/>
      <c r="I321" s="25"/>
      <c r="J321" s="25"/>
      <c r="K321" s="25"/>
      <c r="L321" s="25"/>
      <c r="M321" s="25"/>
    </row>
    <row r="322" spans="1:13" x14ac:dyDescent="0.25">
      <c r="A322" s="25"/>
      <c r="B322" s="25"/>
      <c r="C322" s="25"/>
      <c r="D322" s="25"/>
      <c r="E322" s="25"/>
      <c r="F322" s="25"/>
      <c r="G322" s="25"/>
      <c r="H322" s="26"/>
      <c r="I322" s="25"/>
      <c r="J322" s="25"/>
      <c r="K322" s="25"/>
      <c r="L322" s="25"/>
      <c r="M322" s="25"/>
    </row>
    <row r="323" spans="1:13" x14ac:dyDescent="0.25">
      <c r="A323" s="25"/>
      <c r="B323" s="25"/>
      <c r="C323" s="25"/>
      <c r="D323" s="25"/>
      <c r="E323" s="25"/>
      <c r="F323" s="25"/>
      <c r="G323" s="25"/>
      <c r="H323" s="26"/>
      <c r="I323" s="25"/>
      <c r="J323" s="25"/>
      <c r="K323" s="25"/>
      <c r="L323" s="25"/>
      <c r="M323" s="25"/>
    </row>
    <row r="324" spans="1:13" x14ac:dyDescent="0.25">
      <c r="A324" s="25"/>
      <c r="B324" s="25"/>
      <c r="C324" s="25"/>
      <c r="D324" s="25"/>
      <c r="E324" s="25"/>
      <c r="F324" s="25"/>
      <c r="G324" s="25"/>
      <c r="H324" s="26"/>
      <c r="I324" s="25"/>
      <c r="J324" s="25"/>
      <c r="K324" s="25"/>
      <c r="L324" s="25"/>
      <c r="M324" s="25"/>
    </row>
    <row r="325" spans="1:13" x14ac:dyDescent="0.25">
      <c r="A325" s="25"/>
      <c r="B325" s="25"/>
      <c r="C325" s="25"/>
      <c r="D325" s="25"/>
      <c r="E325" s="25"/>
      <c r="F325" s="25"/>
      <c r="G325" s="25"/>
      <c r="H325" s="26"/>
      <c r="I325" s="25"/>
      <c r="J325" s="25"/>
      <c r="K325" s="25"/>
      <c r="L325" s="25"/>
      <c r="M325" s="25"/>
    </row>
    <row r="326" spans="1:13" x14ac:dyDescent="0.25">
      <c r="A326" s="25"/>
      <c r="B326" s="25"/>
      <c r="C326" s="25"/>
      <c r="D326" s="25"/>
      <c r="E326" s="25"/>
      <c r="F326" s="25"/>
      <c r="G326" s="25"/>
      <c r="H326" s="26"/>
      <c r="I326" s="25"/>
      <c r="J326" s="25"/>
      <c r="K326" s="25"/>
      <c r="L326" s="25"/>
      <c r="M326" s="25"/>
    </row>
    <row r="327" spans="1:13" x14ac:dyDescent="0.25">
      <c r="A327" s="25"/>
      <c r="B327" s="25"/>
      <c r="C327" s="25"/>
      <c r="D327" s="25"/>
      <c r="E327" s="25"/>
      <c r="F327" s="25"/>
      <c r="G327" s="25"/>
      <c r="H327" s="26"/>
      <c r="I327" s="25"/>
      <c r="J327" s="25"/>
      <c r="K327" s="25"/>
      <c r="L327" s="25"/>
      <c r="M327" s="25"/>
    </row>
    <row r="328" spans="1:13" x14ac:dyDescent="0.25">
      <c r="A328" s="25"/>
      <c r="B328" s="25"/>
      <c r="C328" s="25"/>
      <c r="D328" s="25"/>
      <c r="E328" s="25"/>
      <c r="F328" s="25"/>
      <c r="G328" s="25"/>
      <c r="H328" s="26"/>
      <c r="I328" s="25"/>
      <c r="J328" s="25"/>
      <c r="K328" s="25"/>
      <c r="L328" s="25"/>
      <c r="M328" s="25"/>
    </row>
    <row r="329" spans="1:13" x14ac:dyDescent="0.25">
      <c r="A329" s="25"/>
      <c r="B329" s="25"/>
      <c r="C329" s="25"/>
      <c r="D329" s="25"/>
      <c r="E329" s="25"/>
      <c r="F329" s="25"/>
      <c r="G329" s="25"/>
      <c r="H329" s="26"/>
      <c r="I329" s="25"/>
      <c r="J329" s="25"/>
      <c r="K329" s="25"/>
      <c r="L329" s="25"/>
      <c r="M329" s="25"/>
    </row>
    <row r="330" spans="1:13" x14ac:dyDescent="0.25">
      <c r="A330" s="25"/>
      <c r="B330" s="25"/>
      <c r="C330" s="25"/>
      <c r="D330" s="25"/>
      <c r="E330" s="25"/>
      <c r="F330" s="25"/>
      <c r="G330" s="25"/>
      <c r="H330" s="26"/>
      <c r="I330" s="25"/>
      <c r="J330" s="25"/>
      <c r="K330" s="25"/>
      <c r="L330" s="25"/>
      <c r="M330" s="25"/>
    </row>
    <row r="331" spans="1:13" x14ac:dyDescent="0.25">
      <c r="A331" s="25"/>
      <c r="B331" s="25"/>
      <c r="C331" s="25"/>
      <c r="D331" s="25"/>
      <c r="E331" s="25"/>
      <c r="F331" s="25"/>
      <c r="G331" s="25"/>
      <c r="H331" s="26"/>
      <c r="I331" s="25"/>
      <c r="J331" s="25"/>
      <c r="K331" s="25"/>
      <c r="L331" s="25"/>
      <c r="M331" s="25"/>
    </row>
    <row r="332" spans="1:13" x14ac:dyDescent="0.25">
      <c r="A332" s="25"/>
      <c r="B332" s="25"/>
      <c r="C332" s="25"/>
      <c r="D332" s="25"/>
      <c r="E332" s="25"/>
      <c r="F332" s="25"/>
      <c r="G332" s="25"/>
      <c r="H332" s="26"/>
      <c r="I332" s="25"/>
      <c r="J332" s="25"/>
      <c r="K332" s="25"/>
      <c r="L332" s="25"/>
      <c r="M332" s="25"/>
    </row>
    <row r="333" spans="1:13" x14ac:dyDescent="0.25">
      <c r="A333" s="25"/>
      <c r="B333" s="25"/>
      <c r="C333" s="25"/>
      <c r="D333" s="25"/>
      <c r="E333" s="25"/>
      <c r="F333" s="25"/>
      <c r="G333" s="25"/>
      <c r="H333" s="26"/>
      <c r="I333" s="25"/>
      <c r="J333" s="25"/>
      <c r="K333" s="25"/>
      <c r="L333" s="25"/>
      <c r="M333" s="25"/>
    </row>
    <row r="334" spans="1:13" x14ac:dyDescent="0.25">
      <c r="A334" s="25"/>
      <c r="B334" s="25"/>
      <c r="C334" s="25"/>
      <c r="D334" s="25"/>
      <c r="E334" s="25"/>
      <c r="F334" s="25"/>
      <c r="G334" s="25"/>
      <c r="H334" s="26"/>
      <c r="I334" s="25"/>
      <c r="J334" s="25"/>
      <c r="K334" s="25"/>
      <c r="L334" s="25"/>
      <c r="M334" s="25"/>
    </row>
    <row r="335" spans="1:13" x14ac:dyDescent="0.25">
      <c r="A335" s="25"/>
      <c r="B335" s="25"/>
      <c r="C335" s="25"/>
      <c r="D335" s="25"/>
      <c r="E335" s="25"/>
      <c r="F335" s="25"/>
      <c r="G335" s="25"/>
      <c r="H335" s="26"/>
      <c r="I335" s="25"/>
      <c r="J335" s="25"/>
      <c r="K335" s="25"/>
      <c r="L335" s="25"/>
      <c r="M335" s="25"/>
    </row>
    <row r="336" spans="1:13" x14ac:dyDescent="0.25">
      <c r="A336" s="25"/>
      <c r="B336" s="25"/>
      <c r="C336" s="25"/>
      <c r="D336" s="25"/>
      <c r="E336" s="25"/>
      <c r="F336" s="25"/>
      <c r="G336" s="25"/>
      <c r="H336" s="26"/>
      <c r="I336" s="25"/>
      <c r="J336" s="25"/>
      <c r="K336" s="25"/>
      <c r="L336" s="25"/>
      <c r="M336" s="25"/>
    </row>
    <row r="337" spans="1:13" x14ac:dyDescent="0.25">
      <c r="A337" s="25"/>
      <c r="B337" s="25"/>
      <c r="C337" s="25"/>
      <c r="D337" s="25"/>
      <c r="E337" s="25"/>
      <c r="F337" s="25"/>
      <c r="G337" s="25"/>
      <c r="H337" s="26"/>
      <c r="I337" s="25"/>
      <c r="J337" s="25"/>
      <c r="K337" s="25"/>
      <c r="L337" s="25"/>
      <c r="M337" s="25"/>
    </row>
    <row r="338" spans="1:13" x14ac:dyDescent="0.25">
      <c r="A338" s="25"/>
      <c r="B338" s="25"/>
      <c r="C338" s="25"/>
      <c r="D338" s="25"/>
      <c r="E338" s="25"/>
      <c r="F338" s="25"/>
      <c r="G338" s="25"/>
      <c r="H338" s="26"/>
      <c r="I338" s="25"/>
      <c r="J338" s="25"/>
      <c r="K338" s="25"/>
      <c r="L338" s="25"/>
      <c r="M338" s="25"/>
    </row>
    <row r="339" spans="1:13" x14ac:dyDescent="0.25">
      <c r="A339" s="25"/>
      <c r="B339" s="25"/>
      <c r="C339" s="25"/>
      <c r="D339" s="25"/>
      <c r="E339" s="25"/>
      <c r="F339" s="25"/>
      <c r="G339" s="25"/>
      <c r="H339" s="26"/>
      <c r="I339" s="25"/>
      <c r="J339" s="25"/>
      <c r="K339" s="25"/>
      <c r="L339" s="25"/>
      <c r="M339" s="25"/>
    </row>
    <row r="340" spans="1:13" x14ac:dyDescent="0.25">
      <c r="A340" s="25"/>
      <c r="B340" s="25"/>
      <c r="C340" s="25"/>
      <c r="D340" s="25"/>
      <c r="E340" s="25"/>
      <c r="F340" s="25"/>
      <c r="G340" s="25"/>
      <c r="H340" s="26"/>
      <c r="I340" s="25"/>
      <c r="J340" s="25"/>
      <c r="K340" s="25"/>
      <c r="L340" s="25"/>
      <c r="M340" s="25"/>
    </row>
    <row r="341" spans="1:13" x14ac:dyDescent="0.25">
      <c r="A341" s="25"/>
      <c r="B341" s="25"/>
      <c r="C341" s="25"/>
      <c r="D341" s="25"/>
      <c r="E341" s="25"/>
      <c r="F341" s="25"/>
      <c r="G341" s="25"/>
      <c r="H341" s="26"/>
      <c r="I341" s="25"/>
      <c r="J341" s="25"/>
      <c r="K341" s="25"/>
      <c r="L341" s="25"/>
      <c r="M341" s="25"/>
    </row>
    <row r="342" spans="1:13" x14ac:dyDescent="0.25">
      <c r="A342" s="25"/>
      <c r="B342" s="25"/>
      <c r="C342" s="25"/>
      <c r="D342" s="25"/>
      <c r="E342" s="25"/>
      <c r="F342" s="25"/>
      <c r="G342" s="25"/>
      <c r="H342" s="26"/>
      <c r="I342" s="25"/>
      <c r="J342" s="25"/>
      <c r="K342" s="25"/>
      <c r="L342" s="25"/>
      <c r="M342" s="25"/>
    </row>
    <row r="343" spans="1:13" x14ac:dyDescent="0.25">
      <c r="A343" s="25"/>
      <c r="B343" s="25"/>
      <c r="C343" s="25"/>
      <c r="D343" s="25"/>
      <c r="E343" s="25"/>
      <c r="F343" s="25"/>
      <c r="G343" s="25"/>
      <c r="H343" s="26"/>
      <c r="I343" s="25"/>
      <c r="J343" s="25"/>
      <c r="K343" s="25"/>
      <c r="L343" s="25"/>
      <c r="M343" s="25"/>
    </row>
    <row r="344" spans="1:13" x14ac:dyDescent="0.25">
      <c r="A344" s="25"/>
      <c r="B344" s="25"/>
      <c r="C344" s="25"/>
      <c r="D344" s="25"/>
      <c r="E344" s="25"/>
      <c r="F344" s="25"/>
      <c r="G344" s="25"/>
      <c r="H344" s="26"/>
      <c r="I344" s="25"/>
      <c r="J344" s="25"/>
      <c r="K344" s="25"/>
      <c r="L344" s="25"/>
      <c r="M344" s="25"/>
    </row>
    <row r="345" spans="1:13" x14ac:dyDescent="0.25">
      <c r="A345" s="25"/>
      <c r="B345" s="25"/>
      <c r="C345" s="25"/>
      <c r="D345" s="25"/>
      <c r="E345" s="25"/>
      <c r="F345" s="25"/>
      <c r="G345" s="25"/>
      <c r="H345" s="26"/>
      <c r="I345" s="25"/>
      <c r="J345" s="25"/>
      <c r="K345" s="25"/>
      <c r="L345" s="25"/>
      <c r="M345" s="25"/>
    </row>
    <row r="346" spans="1:13" x14ac:dyDescent="0.25">
      <c r="A346" s="25"/>
      <c r="B346" s="25"/>
      <c r="C346" s="25"/>
      <c r="D346" s="25"/>
      <c r="E346" s="25"/>
      <c r="F346" s="25"/>
      <c r="G346" s="25"/>
      <c r="H346" s="26"/>
      <c r="I346" s="25"/>
      <c r="J346" s="25"/>
      <c r="K346" s="25"/>
      <c r="L346" s="25"/>
      <c r="M346" s="25"/>
    </row>
    <row r="347" spans="1:13" x14ac:dyDescent="0.25">
      <c r="A347" s="25"/>
      <c r="B347" s="25"/>
      <c r="C347" s="25"/>
      <c r="D347" s="25"/>
      <c r="E347" s="25"/>
      <c r="F347" s="25"/>
      <c r="G347" s="25"/>
      <c r="H347" s="26"/>
      <c r="I347" s="25"/>
      <c r="J347" s="25"/>
      <c r="K347" s="25"/>
      <c r="L347" s="25"/>
      <c r="M347" s="25"/>
    </row>
    <row r="348" spans="1:13" x14ac:dyDescent="0.25">
      <c r="A348" s="25"/>
      <c r="B348" s="25"/>
      <c r="C348" s="25"/>
      <c r="D348" s="25"/>
      <c r="E348" s="25"/>
      <c r="F348" s="25"/>
      <c r="G348" s="25"/>
      <c r="H348" s="26"/>
      <c r="I348" s="25"/>
      <c r="J348" s="25"/>
      <c r="K348" s="25"/>
      <c r="L348" s="25"/>
      <c r="M348" s="25"/>
    </row>
    <row r="349" spans="1:13" x14ac:dyDescent="0.25">
      <c r="A349" s="25"/>
      <c r="B349" s="25"/>
      <c r="C349" s="25"/>
      <c r="D349" s="25"/>
      <c r="E349" s="25"/>
      <c r="F349" s="25"/>
      <c r="G349" s="25"/>
      <c r="H349" s="26"/>
      <c r="I349" s="25"/>
      <c r="J349" s="25"/>
      <c r="K349" s="25"/>
      <c r="L349" s="25"/>
      <c r="M349" s="25"/>
    </row>
    <row r="350" spans="1:13" x14ac:dyDescent="0.25">
      <c r="A350" s="25"/>
      <c r="B350" s="25"/>
      <c r="C350" s="25"/>
      <c r="D350" s="25"/>
      <c r="E350" s="25"/>
      <c r="F350" s="25"/>
      <c r="G350" s="25"/>
      <c r="H350" s="26"/>
      <c r="I350" s="25"/>
      <c r="J350" s="25"/>
      <c r="K350" s="25"/>
      <c r="L350" s="25"/>
      <c r="M350" s="25"/>
    </row>
    <row r="351" spans="1:13" x14ac:dyDescent="0.25">
      <c r="A351" s="25"/>
      <c r="B351" s="25"/>
      <c r="C351" s="25"/>
      <c r="D351" s="25"/>
      <c r="E351" s="25"/>
      <c r="F351" s="25"/>
      <c r="G351" s="25"/>
      <c r="H351" s="26"/>
      <c r="I351" s="25"/>
      <c r="J351" s="25"/>
      <c r="K351" s="25"/>
      <c r="L351" s="25"/>
      <c r="M351" s="25"/>
    </row>
    <row r="352" spans="1:13" x14ac:dyDescent="0.25">
      <c r="A352" s="25"/>
      <c r="B352" s="25"/>
      <c r="C352" s="25"/>
      <c r="D352" s="25"/>
      <c r="E352" s="25"/>
      <c r="F352" s="25"/>
      <c r="G352" s="25"/>
      <c r="H352" s="26"/>
      <c r="I352" s="25"/>
      <c r="J352" s="25"/>
      <c r="K352" s="25"/>
      <c r="L352" s="25"/>
      <c r="M352" s="25"/>
    </row>
    <row r="353" spans="1:13" x14ac:dyDescent="0.25">
      <c r="A353" s="25"/>
      <c r="B353" s="25"/>
      <c r="C353" s="25"/>
      <c r="D353" s="25"/>
      <c r="E353" s="25"/>
      <c r="F353" s="25"/>
      <c r="G353" s="25"/>
      <c r="H353" s="26"/>
      <c r="I353" s="25"/>
      <c r="J353" s="25"/>
      <c r="K353" s="25"/>
      <c r="L353" s="25"/>
      <c r="M353" s="25"/>
    </row>
    <row r="354" spans="1:13" x14ac:dyDescent="0.25">
      <c r="A354" s="25"/>
      <c r="B354" s="25"/>
      <c r="C354" s="25"/>
      <c r="D354" s="25"/>
      <c r="E354" s="25"/>
      <c r="F354" s="25"/>
      <c r="G354" s="25"/>
      <c r="H354" s="26"/>
      <c r="I354" s="25"/>
      <c r="J354" s="25"/>
      <c r="K354" s="25"/>
      <c r="L354" s="25"/>
      <c r="M354" s="25"/>
    </row>
    <row r="355" spans="1:13" x14ac:dyDescent="0.25">
      <c r="A355" s="25"/>
      <c r="B355" s="25"/>
      <c r="C355" s="25"/>
      <c r="D355" s="25"/>
      <c r="E355" s="25"/>
      <c r="F355" s="25"/>
      <c r="G355" s="25"/>
      <c r="H355" s="26"/>
      <c r="I355" s="25"/>
      <c r="J355" s="25"/>
      <c r="K355" s="25"/>
      <c r="L355" s="25"/>
      <c r="M355" s="25"/>
    </row>
    <row r="356" spans="1:13" x14ac:dyDescent="0.25">
      <c r="A356" s="25"/>
      <c r="B356" s="25"/>
      <c r="C356" s="25"/>
      <c r="D356" s="25"/>
      <c r="E356" s="25"/>
      <c r="F356" s="25"/>
      <c r="G356" s="25"/>
      <c r="H356" s="26"/>
      <c r="I356" s="25"/>
      <c r="J356" s="25"/>
      <c r="K356" s="25"/>
      <c r="L356" s="25"/>
      <c r="M356" s="25"/>
    </row>
    <row r="357" spans="1:13" x14ac:dyDescent="0.25">
      <c r="A357" s="25"/>
      <c r="B357" s="25"/>
      <c r="C357" s="25"/>
      <c r="D357" s="25"/>
      <c r="E357" s="25"/>
      <c r="F357" s="25"/>
      <c r="G357" s="25"/>
      <c r="H357" s="26"/>
      <c r="I357" s="25"/>
      <c r="J357" s="25"/>
      <c r="K357" s="25"/>
      <c r="L357" s="25"/>
      <c r="M357" s="25"/>
    </row>
    <row r="358" spans="1:13" x14ac:dyDescent="0.25">
      <c r="A358" s="25"/>
      <c r="B358" s="25"/>
      <c r="C358" s="25"/>
      <c r="D358" s="25"/>
      <c r="E358" s="25"/>
      <c r="F358" s="25"/>
      <c r="G358" s="25"/>
      <c r="H358" s="26"/>
      <c r="I358" s="25"/>
      <c r="J358" s="25"/>
      <c r="K358" s="25"/>
      <c r="L358" s="25"/>
      <c r="M358" s="25"/>
    </row>
    <row r="359" spans="1:13" x14ac:dyDescent="0.25">
      <c r="A359" s="25"/>
      <c r="B359" s="25"/>
      <c r="C359" s="25"/>
      <c r="D359" s="25"/>
      <c r="E359" s="25"/>
      <c r="F359" s="25"/>
      <c r="G359" s="25"/>
      <c r="H359" s="26"/>
      <c r="I359" s="25"/>
      <c r="J359" s="25"/>
      <c r="K359" s="25"/>
      <c r="L359" s="25"/>
      <c r="M359" s="25"/>
    </row>
    <row r="360" spans="1:13" x14ac:dyDescent="0.25">
      <c r="A360" s="25"/>
      <c r="B360" s="25"/>
      <c r="C360" s="25"/>
      <c r="D360" s="25"/>
      <c r="E360" s="25"/>
      <c r="F360" s="25"/>
      <c r="G360" s="25"/>
      <c r="H360" s="26"/>
      <c r="I360" s="25"/>
      <c r="J360" s="25"/>
      <c r="K360" s="25"/>
      <c r="L360" s="25"/>
      <c r="M360" s="25"/>
    </row>
    <row r="361" spans="1:13" x14ac:dyDescent="0.25">
      <c r="A361" s="25"/>
      <c r="B361" s="25"/>
      <c r="C361" s="25"/>
      <c r="D361" s="25"/>
      <c r="E361" s="25"/>
      <c r="F361" s="25"/>
      <c r="G361" s="25"/>
      <c r="H361" s="26"/>
      <c r="I361" s="25"/>
      <c r="J361" s="25"/>
      <c r="K361" s="25"/>
      <c r="L361" s="25"/>
      <c r="M361" s="25"/>
    </row>
    <row r="362" spans="1:13" x14ac:dyDescent="0.25">
      <c r="A362" s="25"/>
      <c r="B362" s="25"/>
      <c r="C362" s="25"/>
      <c r="D362" s="25"/>
      <c r="E362" s="25"/>
      <c r="F362" s="25"/>
      <c r="G362" s="25"/>
      <c r="H362" s="26"/>
      <c r="I362" s="25"/>
      <c r="J362" s="25"/>
      <c r="K362" s="25"/>
      <c r="L362" s="25"/>
      <c r="M362" s="25"/>
    </row>
    <row r="363" spans="1:13" x14ac:dyDescent="0.25">
      <c r="A363" s="25"/>
      <c r="B363" s="25"/>
      <c r="C363" s="25"/>
      <c r="D363" s="25"/>
      <c r="E363" s="25"/>
      <c r="F363" s="25"/>
      <c r="G363" s="25"/>
      <c r="H363" s="26"/>
      <c r="I363" s="25"/>
      <c r="J363" s="25"/>
      <c r="K363" s="25"/>
      <c r="L363" s="25"/>
      <c r="M363" s="25"/>
    </row>
    <row r="364" spans="1:13" x14ac:dyDescent="0.25">
      <c r="A364" s="25"/>
      <c r="B364" s="25"/>
      <c r="C364" s="25"/>
      <c r="D364" s="25"/>
      <c r="E364" s="25"/>
      <c r="F364" s="25"/>
      <c r="G364" s="25"/>
      <c r="H364" s="26"/>
      <c r="I364" s="25"/>
      <c r="J364" s="25"/>
      <c r="K364" s="25"/>
      <c r="L364" s="25"/>
      <c r="M364" s="25"/>
    </row>
    <row r="365" spans="1:13" x14ac:dyDescent="0.25">
      <c r="A365" s="25"/>
      <c r="B365" s="25"/>
      <c r="C365" s="25"/>
      <c r="D365" s="25"/>
      <c r="E365" s="25"/>
      <c r="F365" s="25"/>
      <c r="G365" s="25"/>
      <c r="H365" s="26"/>
      <c r="I365" s="25"/>
      <c r="J365" s="25"/>
      <c r="K365" s="25"/>
      <c r="L365" s="25"/>
      <c r="M365" s="25"/>
    </row>
    <row r="366" spans="1:13" x14ac:dyDescent="0.25">
      <c r="A366" s="25"/>
      <c r="B366" s="25"/>
      <c r="C366" s="25"/>
      <c r="D366" s="25"/>
      <c r="E366" s="25"/>
      <c r="F366" s="25"/>
      <c r="G366" s="25"/>
      <c r="H366" s="26"/>
      <c r="I366" s="25"/>
      <c r="J366" s="25"/>
      <c r="K366" s="25"/>
      <c r="L366" s="25"/>
      <c r="M366" s="25"/>
    </row>
    <row r="367" spans="1:13" x14ac:dyDescent="0.25">
      <c r="A367" s="25"/>
      <c r="B367" s="25"/>
      <c r="C367" s="25"/>
      <c r="D367" s="25"/>
      <c r="E367" s="25"/>
      <c r="F367" s="25"/>
      <c r="G367" s="25"/>
      <c r="H367" s="26"/>
      <c r="I367" s="25"/>
      <c r="J367" s="25"/>
      <c r="K367" s="25"/>
      <c r="L367" s="25"/>
      <c r="M367" s="25"/>
    </row>
    <row r="368" spans="1:13" x14ac:dyDescent="0.25">
      <c r="A368" s="25"/>
      <c r="B368" s="25"/>
      <c r="C368" s="25"/>
      <c r="D368" s="25"/>
      <c r="E368" s="25"/>
      <c r="F368" s="25"/>
      <c r="G368" s="25"/>
      <c r="H368" s="26"/>
      <c r="I368" s="25"/>
      <c r="J368" s="25"/>
      <c r="K368" s="25"/>
      <c r="L368" s="25"/>
      <c r="M368" s="25"/>
    </row>
    <row r="369" spans="1:13" x14ac:dyDescent="0.25">
      <c r="A369" s="25"/>
      <c r="B369" s="25"/>
      <c r="C369" s="25"/>
      <c r="D369" s="25"/>
      <c r="E369" s="25"/>
      <c r="F369" s="25"/>
      <c r="G369" s="25"/>
      <c r="H369" s="26"/>
      <c r="I369" s="25"/>
      <c r="J369" s="25"/>
      <c r="K369" s="25"/>
      <c r="L369" s="25"/>
      <c r="M369" s="25"/>
    </row>
    <row r="370" spans="1:13" x14ac:dyDescent="0.25">
      <c r="A370" s="25"/>
      <c r="B370" s="25"/>
      <c r="C370" s="25"/>
      <c r="D370" s="25"/>
      <c r="E370" s="25"/>
      <c r="F370" s="25"/>
      <c r="G370" s="25"/>
      <c r="H370" s="26"/>
      <c r="I370" s="25"/>
      <c r="J370" s="25"/>
      <c r="K370" s="25"/>
      <c r="L370" s="25"/>
      <c r="M370" s="25"/>
    </row>
    <row r="371" spans="1:13" x14ac:dyDescent="0.25">
      <c r="A371" s="25"/>
      <c r="B371" s="25"/>
      <c r="C371" s="25"/>
      <c r="D371" s="25"/>
      <c r="E371" s="25"/>
      <c r="F371" s="25"/>
      <c r="G371" s="25"/>
      <c r="H371" s="26"/>
      <c r="I371" s="25"/>
      <c r="J371" s="25"/>
      <c r="K371" s="25"/>
      <c r="L371" s="25"/>
      <c r="M371" s="25"/>
    </row>
    <row r="372" spans="1:13" x14ac:dyDescent="0.25">
      <c r="A372" s="25"/>
      <c r="B372" s="25"/>
      <c r="C372" s="25"/>
      <c r="D372" s="25"/>
      <c r="E372" s="25"/>
      <c r="F372" s="25"/>
      <c r="G372" s="25"/>
      <c r="H372" s="26"/>
      <c r="I372" s="25"/>
      <c r="J372" s="25"/>
      <c r="K372" s="25"/>
      <c r="L372" s="25"/>
      <c r="M372" s="25"/>
    </row>
    <row r="373" spans="1:13" x14ac:dyDescent="0.25">
      <c r="A373" s="25"/>
      <c r="B373" s="25"/>
      <c r="C373" s="25"/>
      <c r="D373" s="25"/>
      <c r="E373" s="25"/>
      <c r="F373" s="25"/>
      <c r="G373" s="25"/>
      <c r="H373" s="26"/>
      <c r="I373" s="25"/>
      <c r="J373" s="25"/>
      <c r="K373" s="25"/>
      <c r="L373" s="25"/>
      <c r="M373" s="25"/>
    </row>
    <row r="374" spans="1:13" x14ac:dyDescent="0.25">
      <c r="A374" s="25"/>
      <c r="B374" s="25"/>
      <c r="C374" s="25"/>
      <c r="D374" s="25"/>
      <c r="E374" s="25"/>
      <c r="F374" s="25"/>
      <c r="G374" s="25"/>
      <c r="H374" s="26"/>
      <c r="I374" s="25"/>
      <c r="J374" s="25"/>
      <c r="K374" s="25"/>
      <c r="L374" s="25"/>
      <c r="M374" s="25"/>
    </row>
    <row r="375" spans="1:13" x14ac:dyDescent="0.25">
      <c r="A375" s="25"/>
      <c r="B375" s="25"/>
      <c r="C375" s="25"/>
      <c r="D375" s="25"/>
      <c r="E375" s="25"/>
      <c r="F375" s="25"/>
      <c r="G375" s="25"/>
      <c r="H375" s="26"/>
      <c r="I375" s="25"/>
      <c r="J375" s="25"/>
      <c r="K375" s="25"/>
      <c r="L375" s="25"/>
      <c r="M375" s="25"/>
    </row>
    <row r="376" spans="1:13" x14ac:dyDescent="0.25">
      <c r="A376" s="25"/>
      <c r="B376" s="25"/>
      <c r="C376" s="25"/>
      <c r="D376" s="25"/>
      <c r="E376" s="25"/>
      <c r="F376" s="25"/>
      <c r="G376" s="25"/>
      <c r="H376" s="26"/>
      <c r="I376" s="25"/>
      <c r="J376" s="25"/>
      <c r="K376" s="25"/>
      <c r="L376" s="25"/>
      <c r="M376" s="25"/>
    </row>
    <row r="377" spans="1:13" x14ac:dyDescent="0.25">
      <c r="A377" s="25"/>
      <c r="B377" s="25"/>
      <c r="C377" s="25"/>
      <c r="D377" s="25"/>
      <c r="E377" s="25"/>
      <c r="F377" s="25"/>
      <c r="G377" s="25"/>
      <c r="H377" s="26"/>
      <c r="I377" s="25"/>
      <c r="J377" s="25"/>
      <c r="K377" s="25"/>
      <c r="L377" s="25"/>
      <c r="M377" s="25"/>
    </row>
    <row r="378" spans="1:13" x14ac:dyDescent="0.25">
      <c r="A378" s="25"/>
      <c r="B378" s="25"/>
      <c r="C378" s="25"/>
      <c r="D378" s="25"/>
      <c r="E378" s="25"/>
      <c r="F378" s="25"/>
      <c r="G378" s="25"/>
      <c r="H378" s="26"/>
      <c r="I378" s="25"/>
      <c r="J378" s="25"/>
      <c r="K378" s="25"/>
      <c r="L378" s="25"/>
      <c r="M378" s="25"/>
    </row>
    <row r="379" spans="1:13" x14ac:dyDescent="0.25">
      <c r="A379" s="25"/>
      <c r="B379" s="25"/>
      <c r="C379" s="25"/>
      <c r="D379" s="25"/>
      <c r="E379" s="25"/>
      <c r="F379" s="25"/>
      <c r="G379" s="25"/>
      <c r="H379" s="26"/>
      <c r="I379" s="25"/>
      <c r="J379" s="25"/>
      <c r="K379" s="25"/>
      <c r="L379" s="25"/>
      <c r="M379" s="25"/>
    </row>
    <row r="380" spans="1:13" x14ac:dyDescent="0.25">
      <c r="A380" s="25"/>
      <c r="B380" s="25"/>
      <c r="C380" s="25"/>
      <c r="D380" s="25"/>
      <c r="E380" s="25"/>
      <c r="F380" s="25"/>
      <c r="G380" s="25"/>
      <c r="H380" s="26"/>
      <c r="I380" s="25"/>
      <c r="J380" s="25"/>
      <c r="K380" s="25"/>
      <c r="L380" s="25"/>
      <c r="M380" s="25"/>
    </row>
    <row r="381" spans="1:13" x14ac:dyDescent="0.25">
      <c r="A381" s="25"/>
      <c r="B381" s="25"/>
      <c r="C381" s="25"/>
      <c r="D381" s="25"/>
      <c r="E381" s="25"/>
      <c r="F381" s="25"/>
      <c r="G381" s="25"/>
      <c r="H381" s="26"/>
      <c r="I381" s="25"/>
      <c r="J381" s="25"/>
      <c r="K381" s="25"/>
      <c r="L381" s="25"/>
      <c r="M381" s="25"/>
    </row>
    <row r="382" spans="1:13" x14ac:dyDescent="0.25">
      <c r="A382" s="25"/>
      <c r="B382" s="25"/>
      <c r="C382" s="25"/>
      <c r="D382" s="25"/>
      <c r="E382" s="25"/>
      <c r="F382" s="25"/>
      <c r="G382" s="25"/>
      <c r="H382" s="26"/>
      <c r="I382" s="25"/>
      <c r="J382" s="25"/>
      <c r="K382" s="25"/>
      <c r="L382" s="25"/>
      <c r="M382" s="25"/>
    </row>
    <row r="383" spans="1:13" x14ac:dyDescent="0.25">
      <c r="A383" s="25"/>
      <c r="B383" s="25"/>
      <c r="C383" s="25"/>
      <c r="D383" s="25"/>
      <c r="E383" s="25"/>
      <c r="F383" s="25"/>
      <c r="G383" s="25"/>
      <c r="H383" s="26"/>
      <c r="I383" s="25"/>
      <c r="J383" s="25"/>
      <c r="K383" s="25"/>
      <c r="L383" s="25"/>
      <c r="M383" s="25"/>
    </row>
    <row r="384" spans="1:13" x14ac:dyDescent="0.25">
      <c r="A384" s="25"/>
      <c r="B384" s="25"/>
      <c r="C384" s="25"/>
      <c r="D384" s="25"/>
      <c r="E384" s="25"/>
      <c r="F384" s="25"/>
      <c r="G384" s="25"/>
      <c r="H384" s="26"/>
      <c r="I384" s="25"/>
      <c r="J384" s="25"/>
      <c r="K384" s="25"/>
      <c r="L384" s="25"/>
      <c r="M384" s="25"/>
    </row>
    <row r="385" spans="1:13" x14ac:dyDescent="0.25">
      <c r="A385" s="25"/>
      <c r="B385" s="25"/>
      <c r="C385" s="25"/>
      <c r="D385" s="25"/>
      <c r="E385" s="25"/>
      <c r="F385" s="25"/>
      <c r="G385" s="25"/>
      <c r="H385" s="26"/>
      <c r="I385" s="25"/>
      <c r="J385" s="25"/>
      <c r="K385" s="25"/>
      <c r="L385" s="25"/>
      <c r="M385" s="25"/>
    </row>
    <row r="386" spans="1:13" x14ac:dyDescent="0.25">
      <c r="A386" s="25"/>
      <c r="B386" s="25"/>
      <c r="C386" s="25"/>
      <c r="D386" s="25"/>
      <c r="E386" s="25"/>
      <c r="F386" s="25"/>
      <c r="G386" s="25"/>
      <c r="H386" s="26"/>
      <c r="I386" s="25"/>
      <c r="J386" s="25"/>
      <c r="K386" s="25"/>
      <c r="L386" s="25"/>
      <c r="M386" s="25"/>
    </row>
    <row r="387" spans="1:13" x14ac:dyDescent="0.25">
      <c r="A387" s="25"/>
      <c r="B387" s="25"/>
      <c r="C387" s="25"/>
      <c r="D387" s="25"/>
      <c r="E387" s="25"/>
      <c r="F387" s="25"/>
      <c r="G387" s="25"/>
      <c r="H387" s="26"/>
      <c r="I387" s="25"/>
      <c r="J387" s="25"/>
      <c r="K387" s="25"/>
      <c r="L387" s="25"/>
      <c r="M387" s="25"/>
    </row>
    <row r="388" spans="1:13" x14ac:dyDescent="0.25">
      <c r="A388" s="25"/>
      <c r="B388" s="25"/>
      <c r="C388" s="25"/>
      <c r="D388" s="25"/>
      <c r="E388" s="25"/>
      <c r="F388" s="25"/>
      <c r="G388" s="25"/>
      <c r="H388" s="26"/>
      <c r="I388" s="25"/>
      <c r="J388" s="25"/>
      <c r="K388" s="25"/>
      <c r="L388" s="25"/>
      <c r="M388" s="25"/>
    </row>
    <row r="389" spans="1:13" x14ac:dyDescent="0.25">
      <c r="A389" s="25"/>
      <c r="B389" s="25"/>
      <c r="C389" s="25"/>
      <c r="D389" s="25"/>
      <c r="E389" s="25"/>
      <c r="F389" s="25"/>
      <c r="G389" s="25"/>
      <c r="H389" s="26"/>
      <c r="I389" s="25"/>
      <c r="J389" s="25"/>
      <c r="K389" s="25"/>
      <c r="L389" s="25"/>
      <c r="M389" s="25"/>
    </row>
    <row r="390" spans="1:13" x14ac:dyDescent="0.25">
      <c r="A390" s="25"/>
      <c r="B390" s="25"/>
      <c r="C390" s="25"/>
      <c r="D390" s="25"/>
      <c r="E390" s="25"/>
      <c r="F390" s="25"/>
      <c r="G390" s="25"/>
      <c r="H390" s="26"/>
      <c r="I390" s="25"/>
      <c r="J390" s="25"/>
      <c r="K390" s="25"/>
      <c r="L390" s="25"/>
      <c r="M390" s="25"/>
    </row>
    <row r="391" spans="1:13" x14ac:dyDescent="0.25">
      <c r="A391" s="25"/>
      <c r="B391" s="25"/>
      <c r="C391" s="25"/>
      <c r="D391" s="25"/>
      <c r="E391" s="25"/>
      <c r="F391" s="25"/>
      <c r="G391" s="25"/>
      <c r="H391" s="26"/>
      <c r="I391" s="25"/>
      <c r="J391" s="25"/>
      <c r="K391" s="25"/>
      <c r="L391" s="25"/>
      <c r="M391" s="25"/>
    </row>
    <row r="392" spans="1:13" x14ac:dyDescent="0.25">
      <c r="A392" s="25"/>
      <c r="B392" s="25"/>
      <c r="C392" s="25"/>
      <c r="D392" s="25"/>
      <c r="E392" s="25"/>
      <c r="F392" s="25"/>
      <c r="G392" s="25"/>
      <c r="H392" s="26"/>
      <c r="I392" s="25"/>
      <c r="J392" s="25"/>
      <c r="K392" s="25"/>
      <c r="L392" s="25"/>
      <c r="M392" s="25"/>
    </row>
    <row r="393" spans="1:13" x14ac:dyDescent="0.25">
      <c r="A393" s="25"/>
      <c r="B393" s="25"/>
      <c r="C393" s="25"/>
      <c r="D393" s="25"/>
      <c r="E393" s="25"/>
      <c r="F393" s="25"/>
      <c r="G393" s="25"/>
      <c r="H393" s="26"/>
      <c r="I393" s="25"/>
      <c r="J393" s="25"/>
      <c r="K393" s="25"/>
      <c r="L393" s="25"/>
      <c r="M393" s="25"/>
    </row>
    <row r="394" spans="1:13" x14ac:dyDescent="0.25">
      <c r="A394" s="25"/>
      <c r="B394" s="25"/>
      <c r="C394" s="25"/>
      <c r="D394" s="25"/>
      <c r="E394" s="25"/>
      <c r="F394" s="25"/>
      <c r="G394" s="25"/>
      <c r="H394" s="26"/>
      <c r="I394" s="25"/>
      <c r="J394" s="25"/>
      <c r="K394" s="25"/>
      <c r="L394" s="25"/>
      <c r="M394" s="25"/>
    </row>
    <row r="395" spans="1:13" x14ac:dyDescent="0.25">
      <c r="A395" s="25"/>
      <c r="B395" s="25"/>
      <c r="C395" s="25"/>
      <c r="D395" s="25"/>
      <c r="E395" s="25"/>
      <c r="F395" s="25"/>
      <c r="G395" s="25"/>
      <c r="H395" s="26"/>
      <c r="I395" s="25"/>
      <c r="J395" s="25"/>
      <c r="K395" s="25"/>
      <c r="L395" s="25"/>
      <c r="M395" s="25"/>
    </row>
    <row r="396" spans="1:13" x14ac:dyDescent="0.25">
      <c r="A396" s="25"/>
      <c r="B396" s="25"/>
      <c r="C396" s="25"/>
      <c r="D396" s="25"/>
      <c r="E396" s="25"/>
      <c r="F396" s="25"/>
      <c r="G396" s="25"/>
      <c r="H396" s="26"/>
      <c r="I396" s="25"/>
      <c r="J396" s="25"/>
      <c r="K396" s="25"/>
      <c r="L396" s="25"/>
      <c r="M396" s="25"/>
    </row>
    <row r="397" spans="1:13" x14ac:dyDescent="0.25">
      <c r="A397" s="25"/>
      <c r="B397" s="25"/>
      <c r="C397" s="25"/>
      <c r="D397" s="25"/>
      <c r="E397" s="25"/>
      <c r="F397" s="25"/>
      <c r="G397" s="25"/>
      <c r="H397" s="26"/>
      <c r="I397" s="25"/>
      <c r="J397" s="25"/>
      <c r="K397" s="25"/>
      <c r="L397" s="25"/>
      <c r="M397" s="25"/>
    </row>
    <row r="398" spans="1:13" x14ac:dyDescent="0.25">
      <c r="A398" s="25"/>
      <c r="B398" s="25"/>
      <c r="C398" s="25"/>
      <c r="D398" s="25"/>
      <c r="E398" s="25"/>
      <c r="F398" s="25"/>
      <c r="G398" s="25"/>
      <c r="H398" s="26"/>
      <c r="I398" s="25"/>
      <c r="J398" s="25"/>
      <c r="K398" s="25"/>
      <c r="L398" s="25"/>
      <c r="M398" s="25"/>
    </row>
    <row r="399" spans="1:13" x14ac:dyDescent="0.25">
      <c r="A399" s="25"/>
      <c r="B399" s="25"/>
      <c r="C399" s="25"/>
      <c r="D399" s="25"/>
      <c r="E399" s="25"/>
      <c r="F399" s="25"/>
      <c r="G399" s="25"/>
      <c r="H399" s="26"/>
      <c r="I399" s="25"/>
      <c r="J399" s="25"/>
      <c r="K399" s="25"/>
      <c r="L399" s="25"/>
      <c r="M399" s="25"/>
    </row>
    <row r="400" spans="1:13" x14ac:dyDescent="0.25">
      <c r="A400" s="25"/>
      <c r="B400" s="25"/>
      <c r="C400" s="25"/>
      <c r="D400" s="25"/>
      <c r="E400" s="25"/>
      <c r="F400" s="25"/>
      <c r="G400" s="25"/>
      <c r="H400" s="26"/>
      <c r="I400" s="25"/>
      <c r="J400" s="25"/>
      <c r="K400" s="25"/>
      <c r="L400" s="25"/>
      <c r="M400" s="25"/>
    </row>
    <row r="401" spans="1:13" x14ac:dyDescent="0.25">
      <c r="A401" s="25"/>
      <c r="B401" s="25"/>
      <c r="C401" s="25"/>
      <c r="D401" s="25"/>
      <c r="E401" s="25"/>
      <c r="F401" s="25"/>
      <c r="G401" s="25"/>
      <c r="H401" s="26"/>
      <c r="I401" s="25"/>
      <c r="J401" s="25"/>
      <c r="K401" s="25"/>
      <c r="L401" s="25"/>
      <c r="M401" s="25"/>
    </row>
    <row r="402" spans="1:13" x14ac:dyDescent="0.25">
      <c r="A402" s="25"/>
      <c r="B402" s="25"/>
      <c r="C402" s="25"/>
      <c r="D402" s="25"/>
      <c r="E402" s="25"/>
      <c r="F402" s="25"/>
      <c r="G402" s="25"/>
      <c r="H402" s="26"/>
      <c r="I402" s="25"/>
      <c r="J402" s="25"/>
      <c r="K402" s="25"/>
      <c r="L402" s="25"/>
      <c r="M402" s="25"/>
    </row>
    <row r="403" spans="1:13" x14ac:dyDescent="0.25">
      <c r="A403" s="25"/>
      <c r="B403" s="25"/>
      <c r="C403" s="25"/>
      <c r="D403" s="25"/>
      <c r="E403" s="25"/>
      <c r="F403" s="25"/>
      <c r="G403" s="25"/>
      <c r="H403" s="26"/>
      <c r="I403" s="25"/>
      <c r="J403" s="25"/>
      <c r="K403" s="25"/>
      <c r="L403" s="25"/>
      <c r="M403" s="25"/>
    </row>
    <row r="404" spans="1:13" x14ac:dyDescent="0.25">
      <c r="A404" s="25"/>
      <c r="B404" s="25"/>
      <c r="C404" s="25"/>
      <c r="D404" s="25"/>
      <c r="E404" s="25"/>
      <c r="F404" s="25"/>
      <c r="G404" s="25"/>
      <c r="H404" s="26"/>
      <c r="I404" s="25"/>
      <c r="J404" s="25"/>
      <c r="K404" s="25"/>
      <c r="L404" s="25"/>
      <c r="M404" s="25"/>
    </row>
    <row r="405" spans="1:13" x14ac:dyDescent="0.25">
      <c r="A405" s="25"/>
      <c r="B405" s="25"/>
      <c r="C405" s="25"/>
      <c r="D405" s="25"/>
      <c r="E405" s="25"/>
      <c r="F405" s="25"/>
      <c r="G405" s="25"/>
      <c r="H405" s="26"/>
      <c r="I405" s="25"/>
      <c r="J405" s="25"/>
      <c r="K405" s="25"/>
      <c r="L405" s="25"/>
      <c r="M405" s="25"/>
    </row>
    <row r="406" spans="1:13" x14ac:dyDescent="0.25">
      <c r="A406" s="25"/>
      <c r="B406" s="25"/>
      <c r="C406" s="25"/>
      <c r="D406" s="25"/>
      <c r="E406" s="25"/>
      <c r="F406" s="25"/>
      <c r="G406" s="25"/>
      <c r="H406" s="26"/>
      <c r="I406" s="25"/>
      <c r="J406" s="25"/>
      <c r="K406" s="25"/>
      <c r="L406" s="25"/>
      <c r="M406" s="25"/>
    </row>
    <row r="407" spans="1:13" x14ac:dyDescent="0.25">
      <c r="A407" s="25"/>
      <c r="B407" s="25"/>
      <c r="C407" s="25"/>
      <c r="D407" s="25"/>
      <c r="E407" s="25"/>
      <c r="F407" s="25"/>
      <c r="G407" s="25"/>
      <c r="H407" s="26"/>
      <c r="I407" s="25"/>
      <c r="J407" s="25"/>
      <c r="K407" s="25"/>
      <c r="L407" s="25"/>
      <c r="M407" s="25"/>
    </row>
    <row r="408" spans="1:13" x14ac:dyDescent="0.25">
      <c r="A408" s="25"/>
      <c r="B408" s="25"/>
      <c r="C408" s="25"/>
      <c r="D408" s="25"/>
      <c r="E408" s="25"/>
      <c r="F408" s="25"/>
      <c r="G408" s="25"/>
      <c r="H408" s="26"/>
      <c r="I408" s="25"/>
      <c r="J408" s="25"/>
      <c r="K408" s="25"/>
      <c r="L408" s="25"/>
      <c r="M408" s="25"/>
    </row>
    <row r="409" spans="1:13" x14ac:dyDescent="0.25">
      <c r="A409" s="25"/>
      <c r="B409" s="25"/>
      <c r="C409" s="25"/>
      <c r="D409" s="25"/>
      <c r="E409" s="25"/>
      <c r="F409" s="25"/>
      <c r="G409" s="25"/>
      <c r="H409" s="26"/>
      <c r="I409" s="25"/>
      <c r="J409" s="25"/>
      <c r="K409" s="25"/>
      <c r="L409" s="25"/>
      <c r="M409" s="25"/>
    </row>
    <row r="410" spans="1:13" x14ac:dyDescent="0.25">
      <c r="A410" s="25"/>
      <c r="B410" s="25"/>
      <c r="C410" s="25"/>
      <c r="D410" s="25"/>
      <c r="E410" s="25"/>
      <c r="F410" s="25"/>
      <c r="G410" s="25"/>
      <c r="H410" s="26"/>
      <c r="I410" s="25"/>
      <c r="J410" s="25"/>
      <c r="K410" s="25"/>
      <c r="L410" s="25"/>
      <c r="M410" s="25"/>
    </row>
    <row r="411" spans="1:13" x14ac:dyDescent="0.25">
      <c r="A411" s="25"/>
      <c r="B411" s="25"/>
      <c r="C411" s="25"/>
      <c r="D411" s="25"/>
      <c r="E411" s="25"/>
      <c r="F411" s="25"/>
      <c r="G411" s="25"/>
      <c r="H411" s="26"/>
      <c r="I411" s="25"/>
      <c r="J411" s="25"/>
      <c r="K411" s="25"/>
      <c r="L411" s="25"/>
      <c r="M411" s="25"/>
    </row>
    <row r="412" spans="1:13" x14ac:dyDescent="0.25">
      <c r="A412" s="25"/>
      <c r="B412" s="25"/>
      <c r="C412" s="25"/>
      <c r="D412" s="25"/>
      <c r="E412" s="25"/>
      <c r="F412" s="25"/>
      <c r="G412" s="25"/>
      <c r="H412" s="26"/>
      <c r="I412" s="25"/>
      <c r="J412" s="25"/>
      <c r="K412" s="25"/>
      <c r="L412" s="25"/>
      <c r="M412" s="25"/>
    </row>
    <row r="413" spans="1:13" x14ac:dyDescent="0.25">
      <c r="A413" s="25"/>
      <c r="B413" s="25"/>
      <c r="C413" s="25"/>
      <c r="D413" s="25"/>
      <c r="E413" s="25"/>
      <c r="F413" s="25"/>
      <c r="G413" s="25"/>
      <c r="H413" s="26"/>
      <c r="I413" s="25"/>
      <c r="J413" s="25"/>
      <c r="K413" s="25"/>
      <c r="L413" s="25"/>
      <c r="M413" s="25"/>
    </row>
    <row r="414" spans="1:13" x14ac:dyDescent="0.25">
      <c r="A414" s="25"/>
      <c r="B414" s="25"/>
      <c r="C414" s="25"/>
      <c r="D414" s="25"/>
      <c r="E414" s="25"/>
      <c r="F414" s="25"/>
      <c r="G414" s="25"/>
      <c r="H414" s="26"/>
      <c r="I414" s="25"/>
      <c r="J414" s="25"/>
      <c r="K414" s="25"/>
      <c r="L414" s="25"/>
      <c r="M414" s="25"/>
    </row>
    <row r="415" spans="1:13" x14ac:dyDescent="0.25">
      <c r="A415" s="25"/>
      <c r="B415" s="25"/>
      <c r="C415" s="25"/>
      <c r="D415" s="25"/>
      <c r="E415" s="25"/>
      <c r="F415" s="25"/>
      <c r="G415" s="25"/>
      <c r="H415" s="26"/>
      <c r="I415" s="25"/>
      <c r="J415" s="25"/>
      <c r="K415" s="25"/>
      <c r="L415" s="25"/>
      <c r="M415" s="25"/>
    </row>
    <row r="416" spans="1:13" x14ac:dyDescent="0.25">
      <c r="A416" s="25"/>
      <c r="B416" s="25"/>
      <c r="C416" s="25"/>
      <c r="D416" s="25"/>
      <c r="E416" s="25"/>
      <c r="F416" s="25"/>
      <c r="G416" s="25"/>
      <c r="H416" s="26"/>
      <c r="I416" s="25"/>
      <c r="J416" s="25"/>
      <c r="K416" s="25"/>
      <c r="L416" s="25"/>
      <c r="M416" s="25"/>
    </row>
    <row r="417" spans="1:13" x14ac:dyDescent="0.25">
      <c r="A417" s="25"/>
      <c r="B417" s="25"/>
      <c r="C417" s="25"/>
      <c r="D417" s="25"/>
      <c r="E417" s="25"/>
      <c r="F417" s="25"/>
      <c r="G417" s="25"/>
      <c r="H417" s="26"/>
      <c r="I417" s="25"/>
      <c r="J417" s="25"/>
      <c r="K417" s="25"/>
      <c r="L417" s="25"/>
      <c r="M417" s="25"/>
    </row>
    <row r="418" spans="1:13" x14ac:dyDescent="0.25">
      <c r="A418" s="25"/>
      <c r="B418" s="25"/>
      <c r="C418" s="25"/>
      <c r="D418" s="25"/>
      <c r="E418" s="25"/>
      <c r="F418" s="25"/>
      <c r="G418" s="25"/>
      <c r="H418" s="26"/>
      <c r="I418" s="25"/>
      <c r="J418" s="25"/>
      <c r="K418" s="25"/>
      <c r="L418" s="25"/>
      <c r="M418" s="25"/>
    </row>
    <row r="419" spans="1:13" x14ac:dyDescent="0.25">
      <c r="A419" s="25"/>
      <c r="B419" s="25"/>
      <c r="C419" s="25"/>
      <c r="D419" s="25"/>
      <c r="E419" s="25"/>
      <c r="F419" s="25"/>
      <c r="G419" s="25"/>
      <c r="H419" s="26"/>
      <c r="I419" s="25"/>
      <c r="J419" s="25"/>
      <c r="K419" s="25"/>
      <c r="L419" s="25"/>
      <c r="M419" s="25"/>
    </row>
    <row r="420" spans="1:13" x14ac:dyDescent="0.25">
      <c r="A420" s="25"/>
      <c r="B420" s="25"/>
      <c r="C420" s="25"/>
      <c r="D420" s="25"/>
      <c r="E420" s="25"/>
      <c r="F420" s="25"/>
      <c r="G420" s="25"/>
      <c r="H420" s="26"/>
      <c r="I420" s="25"/>
      <c r="J420" s="25"/>
      <c r="K420" s="25"/>
      <c r="L420" s="25"/>
      <c r="M420" s="25"/>
    </row>
    <row r="421" spans="1:13" x14ac:dyDescent="0.25">
      <c r="A421" s="25"/>
      <c r="B421" s="25"/>
      <c r="C421" s="25"/>
      <c r="D421" s="25"/>
      <c r="E421" s="25"/>
      <c r="F421" s="25"/>
      <c r="G421" s="25"/>
      <c r="H421" s="26"/>
      <c r="I421" s="25"/>
      <c r="J421" s="25"/>
      <c r="K421" s="25"/>
      <c r="L421" s="25"/>
      <c r="M421" s="25"/>
    </row>
    <row r="422" spans="1:13" x14ac:dyDescent="0.25">
      <c r="A422" s="25"/>
      <c r="B422" s="25"/>
      <c r="C422" s="25"/>
      <c r="D422" s="25"/>
      <c r="E422" s="25"/>
      <c r="F422" s="25"/>
      <c r="G422" s="25"/>
      <c r="H422" s="26"/>
      <c r="I422" s="25"/>
      <c r="J422" s="25"/>
      <c r="K422" s="25"/>
      <c r="L422" s="25"/>
      <c r="M422" s="25"/>
    </row>
    <row r="423" spans="1:13" x14ac:dyDescent="0.25">
      <c r="A423" s="25"/>
      <c r="B423" s="25"/>
      <c r="C423" s="25"/>
      <c r="D423" s="25"/>
      <c r="E423" s="25"/>
      <c r="F423" s="25"/>
      <c r="G423" s="25"/>
      <c r="H423" s="26"/>
      <c r="I423" s="25"/>
      <c r="J423" s="25"/>
      <c r="K423" s="25"/>
      <c r="L423" s="25"/>
      <c r="M423" s="25"/>
    </row>
    <row r="424" spans="1:13" x14ac:dyDescent="0.25">
      <c r="A424" s="25"/>
      <c r="B424" s="25"/>
      <c r="C424" s="25"/>
      <c r="D424" s="25"/>
      <c r="E424" s="25"/>
      <c r="F424" s="25"/>
      <c r="G424" s="25"/>
      <c r="H424" s="26"/>
      <c r="I424" s="25"/>
      <c r="J424" s="25"/>
      <c r="K424" s="25"/>
      <c r="L424" s="25"/>
      <c r="M424" s="25"/>
    </row>
    <row r="425" spans="1:13" x14ac:dyDescent="0.25">
      <c r="A425" s="25"/>
      <c r="B425" s="25"/>
      <c r="C425" s="25"/>
      <c r="D425" s="25"/>
      <c r="E425" s="25"/>
      <c r="F425" s="25"/>
      <c r="G425" s="25"/>
      <c r="H425" s="26"/>
      <c r="I425" s="25"/>
      <c r="J425" s="25"/>
      <c r="K425" s="25"/>
      <c r="L425" s="25"/>
      <c r="M425" s="25"/>
    </row>
    <row r="426" spans="1:13" x14ac:dyDescent="0.25">
      <c r="A426" s="25"/>
      <c r="B426" s="25"/>
      <c r="C426" s="25"/>
      <c r="D426" s="25"/>
      <c r="E426" s="25"/>
      <c r="F426" s="25"/>
      <c r="G426" s="25"/>
      <c r="H426" s="26"/>
      <c r="I426" s="25"/>
      <c r="J426" s="25"/>
      <c r="K426" s="25"/>
      <c r="L426" s="25"/>
      <c r="M426" s="25"/>
    </row>
    <row r="427" spans="1:13" x14ac:dyDescent="0.25">
      <c r="A427" s="25"/>
      <c r="B427" s="25"/>
      <c r="C427" s="25"/>
      <c r="D427" s="25"/>
      <c r="E427" s="25"/>
      <c r="F427" s="25"/>
      <c r="G427" s="25"/>
      <c r="H427" s="26"/>
      <c r="I427" s="25"/>
      <c r="J427" s="25"/>
      <c r="K427" s="25"/>
      <c r="L427" s="25"/>
      <c r="M427" s="25"/>
    </row>
    <row r="428" spans="1:13" x14ac:dyDescent="0.25">
      <c r="A428" s="25"/>
      <c r="B428" s="25"/>
      <c r="C428" s="25"/>
      <c r="D428" s="25"/>
      <c r="E428" s="25"/>
      <c r="F428" s="25"/>
      <c r="G428" s="25"/>
      <c r="H428" s="26"/>
      <c r="I428" s="25"/>
      <c r="J428" s="25"/>
      <c r="K428" s="25"/>
      <c r="L428" s="25"/>
      <c r="M428" s="25"/>
    </row>
    <row r="429" spans="1:13" x14ac:dyDescent="0.25">
      <c r="A429" s="25"/>
      <c r="B429" s="25"/>
      <c r="C429" s="25"/>
      <c r="D429" s="25"/>
      <c r="E429" s="25"/>
      <c r="F429" s="25"/>
      <c r="G429" s="25"/>
      <c r="H429" s="26"/>
      <c r="I429" s="25"/>
      <c r="J429" s="25"/>
      <c r="K429" s="25"/>
      <c r="L429" s="25"/>
      <c r="M429" s="25"/>
    </row>
    <row r="430" spans="1:13" x14ac:dyDescent="0.25">
      <c r="A430" s="25"/>
      <c r="B430" s="25"/>
      <c r="C430" s="25"/>
      <c r="D430" s="25"/>
      <c r="E430" s="25"/>
      <c r="F430" s="25"/>
      <c r="G430" s="25"/>
      <c r="H430" s="26"/>
      <c r="I430" s="25"/>
      <c r="J430" s="25"/>
      <c r="K430" s="25"/>
      <c r="L430" s="25"/>
      <c r="M430" s="25"/>
    </row>
    <row r="431" spans="1:13" x14ac:dyDescent="0.25">
      <c r="A431" s="25"/>
      <c r="B431" s="25"/>
      <c r="C431" s="25"/>
      <c r="D431" s="25"/>
      <c r="E431" s="25"/>
      <c r="F431" s="25"/>
      <c r="G431" s="25"/>
      <c r="H431" s="26"/>
      <c r="I431" s="25"/>
      <c r="J431" s="25"/>
      <c r="K431" s="25"/>
      <c r="L431" s="25"/>
      <c r="M431" s="25"/>
    </row>
    <row r="432" spans="1:13" x14ac:dyDescent="0.25">
      <c r="A432" s="25"/>
      <c r="B432" s="25"/>
      <c r="C432" s="25"/>
      <c r="D432" s="25"/>
      <c r="E432" s="25"/>
      <c r="F432" s="25"/>
      <c r="G432" s="25"/>
      <c r="H432" s="26"/>
      <c r="I432" s="25"/>
      <c r="J432" s="25"/>
      <c r="K432" s="25"/>
      <c r="L432" s="25"/>
      <c r="M432" s="25"/>
    </row>
    <row r="433" spans="1:13" x14ac:dyDescent="0.25">
      <c r="A433" s="25"/>
      <c r="B433" s="25"/>
      <c r="C433" s="25"/>
      <c r="D433" s="25"/>
      <c r="E433" s="25"/>
      <c r="F433" s="25"/>
      <c r="G433" s="25"/>
      <c r="H433" s="26"/>
      <c r="I433" s="25"/>
      <c r="J433" s="25"/>
      <c r="K433" s="25"/>
      <c r="L433" s="25"/>
      <c r="M433" s="25"/>
    </row>
    <row r="434" spans="1:13" x14ac:dyDescent="0.25">
      <c r="A434" s="25"/>
      <c r="B434" s="25"/>
      <c r="C434" s="25"/>
      <c r="D434" s="25"/>
      <c r="E434" s="25"/>
      <c r="F434" s="25"/>
      <c r="G434" s="25"/>
      <c r="H434" s="26"/>
      <c r="I434" s="25"/>
      <c r="J434" s="25"/>
      <c r="K434" s="25"/>
      <c r="L434" s="25"/>
      <c r="M434" s="25"/>
    </row>
    <row r="435" spans="1:13" x14ac:dyDescent="0.25">
      <c r="A435" s="25"/>
      <c r="B435" s="25"/>
      <c r="C435" s="25"/>
      <c r="D435" s="25"/>
      <c r="E435" s="25"/>
      <c r="F435" s="25"/>
      <c r="G435" s="25"/>
      <c r="H435" s="26"/>
      <c r="I435" s="25"/>
      <c r="J435" s="25"/>
      <c r="K435" s="25"/>
      <c r="L435" s="25"/>
      <c r="M435" s="25"/>
    </row>
    <row r="436" spans="1:13" x14ac:dyDescent="0.25">
      <c r="A436" s="25"/>
      <c r="B436" s="25"/>
      <c r="C436" s="25"/>
      <c r="D436" s="25"/>
      <c r="E436" s="25"/>
      <c r="F436" s="25"/>
      <c r="G436" s="25"/>
      <c r="H436" s="26"/>
      <c r="I436" s="25"/>
      <c r="J436" s="25"/>
      <c r="K436" s="25"/>
      <c r="L436" s="25"/>
      <c r="M436" s="25"/>
    </row>
    <row r="437" spans="1:13" x14ac:dyDescent="0.25">
      <c r="A437" s="25"/>
      <c r="B437" s="25"/>
      <c r="C437" s="25"/>
      <c r="D437" s="25"/>
      <c r="E437" s="25"/>
      <c r="F437" s="25"/>
      <c r="G437" s="25"/>
      <c r="H437" s="26"/>
      <c r="I437" s="25"/>
      <c r="J437" s="25"/>
      <c r="K437" s="25"/>
      <c r="L437" s="25"/>
      <c r="M437" s="25"/>
    </row>
    <row r="438" spans="1:13" x14ac:dyDescent="0.25">
      <c r="A438" s="25"/>
      <c r="B438" s="25"/>
      <c r="C438" s="25"/>
      <c r="D438" s="25"/>
      <c r="E438" s="25"/>
      <c r="F438" s="25"/>
      <c r="G438" s="25"/>
      <c r="H438" s="26"/>
      <c r="I438" s="25"/>
      <c r="J438" s="25"/>
      <c r="K438" s="25"/>
      <c r="L438" s="25"/>
      <c r="M438" s="25"/>
    </row>
    <row r="439" spans="1:13" x14ac:dyDescent="0.25">
      <c r="A439" s="25"/>
      <c r="B439" s="25"/>
      <c r="C439" s="25"/>
      <c r="D439" s="25"/>
      <c r="E439" s="25"/>
      <c r="F439" s="25"/>
      <c r="G439" s="25"/>
      <c r="H439" s="26"/>
      <c r="I439" s="25"/>
      <c r="J439" s="25"/>
      <c r="K439" s="25"/>
      <c r="L439" s="25"/>
      <c r="M439" s="25"/>
    </row>
    <row r="440" spans="1:13" x14ac:dyDescent="0.25">
      <c r="A440" s="25"/>
      <c r="B440" s="25"/>
      <c r="C440" s="25"/>
      <c r="D440" s="25"/>
      <c r="E440" s="25"/>
      <c r="F440" s="25"/>
      <c r="G440" s="25"/>
      <c r="H440" s="26"/>
      <c r="I440" s="25"/>
      <c r="J440" s="25"/>
      <c r="K440" s="25"/>
      <c r="L440" s="25"/>
      <c r="M440" s="25"/>
    </row>
    <row r="441" spans="1:13" x14ac:dyDescent="0.25">
      <c r="A441" s="25"/>
      <c r="B441" s="25"/>
      <c r="C441" s="25"/>
      <c r="D441" s="25"/>
      <c r="E441" s="25"/>
      <c r="F441" s="25"/>
      <c r="G441" s="25"/>
      <c r="H441" s="26"/>
      <c r="I441" s="25"/>
      <c r="J441" s="25"/>
      <c r="K441" s="25"/>
      <c r="L441" s="25"/>
      <c r="M441" s="25"/>
    </row>
    <row r="442" spans="1:13" x14ac:dyDescent="0.25">
      <c r="A442" s="25"/>
      <c r="B442" s="25"/>
      <c r="C442" s="25"/>
      <c r="D442" s="25"/>
      <c r="E442" s="25"/>
      <c r="F442" s="25"/>
      <c r="G442" s="25"/>
      <c r="H442" s="26"/>
      <c r="I442" s="25"/>
      <c r="J442" s="25"/>
      <c r="K442" s="25"/>
      <c r="L442" s="25"/>
      <c r="M442" s="25"/>
    </row>
    <row r="443" spans="1:13" x14ac:dyDescent="0.25">
      <c r="A443" s="25"/>
      <c r="B443" s="25"/>
      <c r="C443" s="25"/>
      <c r="D443" s="25"/>
      <c r="E443" s="25"/>
      <c r="F443" s="25"/>
      <c r="G443" s="25"/>
      <c r="H443" s="26"/>
      <c r="I443" s="25"/>
      <c r="J443" s="25"/>
      <c r="K443" s="25"/>
      <c r="L443" s="25"/>
      <c r="M443" s="25"/>
    </row>
    <row r="444" spans="1:13" x14ac:dyDescent="0.25">
      <c r="A444" s="25"/>
      <c r="B444" s="25"/>
      <c r="C444" s="25"/>
      <c r="D444" s="25"/>
      <c r="E444" s="25"/>
      <c r="F444" s="25"/>
      <c r="G444" s="25"/>
      <c r="H444" s="26"/>
      <c r="I444" s="25"/>
      <c r="J444" s="25"/>
      <c r="K444" s="25"/>
      <c r="L444" s="25"/>
      <c r="M444" s="25"/>
    </row>
    <row r="445" spans="1:13" x14ac:dyDescent="0.25">
      <c r="A445" s="25"/>
      <c r="B445" s="25"/>
      <c r="C445" s="25"/>
      <c r="D445" s="25"/>
      <c r="E445" s="25"/>
      <c r="F445" s="25"/>
      <c r="G445" s="25"/>
      <c r="H445" s="26"/>
      <c r="I445" s="25"/>
      <c r="J445" s="25"/>
      <c r="K445" s="25"/>
      <c r="L445" s="25"/>
      <c r="M445" s="25"/>
    </row>
    <row r="446" spans="1:13" x14ac:dyDescent="0.25">
      <c r="A446" s="25"/>
      <c r="B446" s="25"/>
      <c r="C446" s="25"/>
      <c r="D446" s="25"/>
      <c r="E446" s="25"/>
      <c r="F446" s="25"/>
      <c r="G446" s="25"/>
      <c r="H446" s="26"/>
      <c r="I446" s="25"/>
      <c r="J446" s="25"/>
      <c r="K446" s="25"/>
      <c r="L446" s="25"/>
      <c r="M446" s="25"/>
    </row>
    <row r="447" spans="1:13" x14ac:dyDescent="0.25">
      <c r="A447" s="25"/>
      <c r="B447" s="25"/>
      <c r="C447" s="25"/>
      <c r="D447" s="25"/>
      <c r="E447" s="25"/>
      <c r="F447" s="25"/>
      <c r="G447" s="25"/>
      <c r="H447" s="26"/>
      <c r="I447" s="25"/>
      <c r="J447" s="25"/>
      <c r="K447" s="25"/>
      <c r="L447" s="25"/>
      <c r="M447" s="25"/>
    </row>
    <row r="448" spans="1:13" x14ac:dyDescent="0.25">
      <c r="A448" s="25"/>
      <c r="B448" s="25"/>
      <c r="C448" s="25"/>
      <c r="D448" s="25"/>
      <c r="E448" s="25"/>
      <c r="F448" s="25"/>
      <c r="G448" s="25"/>
      <c r="H448" s="26"/>
      <c r="I448" s="25"/>
      <c r="J448" s="25"/>
      <c r="K448" s="25"/>
      <c r="L448" s="25"/>
      <c r="M448" s="25"/>
    </row>
    <row r="449" spans="1:13" x14ac:dyDescent="0.25">
      <c r="A449" s="25"/>
      <c r="B449" s="25"/>
      <c r="C449" s="25"/>
      <c r="D449" s="25"/>
      <c r="E449" s="25"/>
      <c r="F449" s="25"/>
      <c r="G449" s="25"/>
      <c r="H449" s="26"/>
      <c r="I449" s="25"/>
      <c r="J449" s="25"/>
      <c r="K449" s="25"/>
      <c r="L449" s="25"/>
      <c r="M449" s="25"/>
    </row>
    <row r="450" spans="1:13" x14ac:dyDescent="0.25">
      <c r="A450" s="25"/>
      <c r="B450" s="25"/>
      <c r="C450" s="25"/>
      <c r="D450" s="25"/>
      <c r="E450" s="25"/>
      <c r="F450" s="25"/>
      <c r="G450" s="25"/>
      <c r="H450" s="26"/>
      <c r="I450" s="25"/>
      <c r="J450" s="25"/>
      <c r="K450" s="25"/>
      <c r="L450" s="25"/>
      <c r="M450" s="25"/>
    </row>
    <row r="451" spans="1:13" x14ac:dyDescent="0.25">
      <c r="A451" s="25"/>
      <c r="B451" s="25"/>
      <c r="C451" s="25"/>
      <c r="D451" s="25"/>
      <c r="E451" s="25"/>
      <c r="F451" s="25"/>
      <c r="G451" s="25"/>
      <c r="H451" s="26"/>
      <c r="I451" s="25"/>
      <c r="J451" s="25"/>
      <c r="K451" s="25"/>
      <c r="L451" s="25"/>
      <c r="M451" s="25"/>
    </row>
    <row r="452" spans="1:13" x14ac:dyDescent="0.25">
      <c r="A452" s="25"/>
      <c r="B452" s="25"/>
      <c r="C452" s="25"/>
      <c r="D452" s="25"/>
      <c r="E452" s="25"/>
      <c r="F452" s="25"/>
      <c r="G452" s="25"/>
      <c r="H452" s="26"/>
      <c r="I452" s="25"/>
      <c r="J452" s="25"/>
      <c r="K452" s="25"/>
      <c r="L452" s="25"/>
      <c r="M452" s="25"/>
    </row>
    <row r="453" spans="1:13" x14ac:dyDescent="0.25">
      <c r="A453" s="25"/>
      <c r="B453" s="25"/>
      <c r="C453" s="25"/>
      <c r="D453" s="25"/>
      <c r="E453" s="25"/>
      <c r="F453" s="25"/>
      <c r="G453" s="25"/>
      <c r="H453" s="26"/>
      <c r="I453" s="25"/>
      <c r="J453" s="25"/>
      <c r="K453" s="25"/>
      <c r="L453" s="25"/>
      <c r="M453" s="25"/>
    </row>
    <row r="454" spans="1:13" x14ac:dyDescent="0.25">
      <c r="A454" s="25"/>
      <c r="B454" s="25"/>
      <c r="C454" s="25"/>
      <c r="D454" s="25"/>
      <c r="E454" s="25"/>
      <c r="F454" s="25"/>
      <c r="G454" s="25"/>
      <c r="H454" s="26"/>
      <c r="I454" s="25"/>
      <c r="J454" s="25"/>
      <c r="K454" s="25"/>
      <c r="L454" s="25"/>
      <c r="M454" s="25"/>
    </row>
    <row r="455" spans="1:13" x14ac:dyDescent="0.25">
      <c r="A455" s="25"/>
      <c r="B455" s="25"/>
      <c r="C455" s="25"/>
      <c r="D455" s="25"/>
      <c r="E455" s="25"/>
      <c r="F455" s="25"/>
      <c r="G455" s="25"/>
      <c r="H455" s="26"/>
      <c r="I455" s="25"/>
      <c r="J455" s="25"/>
      <c r="K455" s="25"/>
      <c r="L455" s="25"/>
      <c r="M455" s="25"/>
    </row>
    <row r="456" spans="1:13" x14ac:dyDescent="0.25">
      <c r="A456" s="25"/>
      <c r="B456" s="25"/>
      <c r="C456" s="25"/>
      <c r="D456" s="25"/>
      <c r="E456" s="25"/>
      <c r="F456" s="25"/>
      <c r="G456" s="25"/>
      <c r="H456" s="26"/>
      <c r="I456" s="25"/>
      <c r="J456" s="25"/>
      <c r="K456" s="25"/>
      <c r="L456" s="25"/>
      <c r="M456" s="25"/>
    </row>
    <row r="457" spans="1:13" x14ac:dyDescent="0.25">
      <c r="A457" s="25"/>
      <c r="B457" s="25"/>
      <c r="C457" s="25"/>
      <c r="D457" s="25"/>
      <c r="E457" s="25"/>
      <c r="F457" s="25"/>
      <c r="G457" s="25"/>
      <c r="H457" s="26"/>
      <c r="I457" s="25"/>
      <c r="J457" s="25"/>
      <c r="K457" s="25"/>
      <c r="L457" s="25"/>
      <c r="M457" s="25"/>
    </row>
    <row r="458" spans="1:13" x14ac:dyDescent="0.25">
      <c r="A458" s="25"/>
      <c r="B458" s="25"/>
      <c r="C458" s="25"/>
      <c r="D458" s="25"/>
      <c r="E458" s="25"/>
      <c r="F458" s="25"/>
      <c r="G458" s="25"/>
      <c r="H458" s="26"/>
      <c r="I458" s="25"/>
      <c r="J458" s="25"/>
      <c r="K458" s="25"/>
      <c r="L458" s="25"/>
      <c r="M458" s="25"/>
    </row>
    <row r="459" spans="1:13" x14ac:dyDescent="0.25">
      <c r="A459" s="25"/>
      <c r="B459" s="25"/>
      <c r="C459" s="25"/>
      <c r="D459" s="25"/>
      <c r="E459" s="25"/>
      <c r="F459" s="25"/>
      <c r="G459" s="25"/>
      <c r="H459" s="26"/>
      <c r="I459" s="25"/>
      <c r="J459" s="25"/>
      <c r="K459" s="25"/>
      <c r="L459" s="25"/>
      <c r="M459" s="25"/>
    </row>
    <row r="460" spans="1:13" x14ac:dyDescent="0.25">
      <c r="A460" s="25"/>
      <c r="B460" s="25"/>
      <c r="C460" s="25"/>
      <c r="D460" s="25"/>
      <c r="E460" s="25"/>
      <c r="F460" s="25"/>
      <c r="G460" s="25"/>
      <c r="H460" s="26"/>
      <c r="I460" s="25"/>
      <c r="J460" s="25"/>
      <c r="K460" s="25"/>
      <c r="L460" s="25"/>
      <c r="M460" s="25"/>
    </row>
    <row r="461" spans="1:13" x14ac:dyDescent="0.25">
      <c r="A461" s="25"/>
      <c r="B461" s="25"/>
      <c r="C461" s="25"/>
      <c r="D461" s="25"/>
      <c r="E461" s="25"/>
      <c r="F461" s="25"/>
      <c r="G461" s="25"/>
      <c r="H461" s="26"/>
      <c r="I461" s="25"/>
      <c r="J461" s="25"/>
      <c r="K461" s="25"/>
      <c r="L461" s="25"/>
      <c r="M461" s="25"/>
    </row>
    <row r="462" spans="1:13" x14ac:dyDescent="0.25">
      <c r="A462" s="25"/>
      <c r="B462" s="25"/>
      <c r="C462" s="25"/>
      <c r="D462" s="25"/>
      <c r="E462" s="25"/>
      <c r="F462" s="25"/>
      <c r="G462" s="25"/>
      <c r="H462" s="26"/>
      <c r="I462" s="25"/>
      <c r="J462" s="25"/>
      <c r="K462" s="25"/>
      <c r="L462" s="25"/>
      <c r="M462" s="25"/>
    </row>
    <row r="463" spans="1:13" x14ac:dyDescent="0.25">
      <c r="A463" s="25"/>
      <c r="B463" s="25"/>
      <c r="C463" s="25"/>
      <c r="D463" s="25"/>
      <c r="E463" s="25"/>
      <c r="F463" s="25"/>
      <c r="G463" s="25"/>
      <c r="H463" s="26"/>
      <c r="I463" s="25"/>
      <c r="J463" s="25"/>
      <c r="K463" s="25"/>
      <c r="L463" s="25"/>
      <c r="M463" s="25"/>
    </row>
    <row r="464" spans="1:13" x14ac:dyDescent="0.25">
      <c r="A464" s="25"/>
      <c r="B464" s="25"/>
      <c r="C464" s="25"/>
      <c r="D464" s="25"/>
      <c r="E464" s="25"/>
      <c r="F464" s="25"/>
      <c r="G464" s="25"/>
      <c r="H464" s="26"/>
      <c r="I464" s="25"/>
      <c r="J464" s="25"/>
      <c r="K464" s="25"/>
      <c r="L464" s="25"/>
      <c r="M464" s="25"/>
    </row>
    <row r="465" spans="1:13" x14ac:dyDescent="0.25">
      <c r="A465" s="25"/>
      <c r="B465" s="25"/>
      <c r="C465" s="25"/>
      <c r="D465" s="25"/>
      <c r="E465" s="25"/>
      <c r="F465" s="25"/>
      <c r="G465" s="25"/>
      <c r="H465" s="26"/>
      <c r="I465" s="25"/>
      <c r="J465" s="25"/>
      <c r="K465" s="25"/>
      <c r="L465" s="25"/>
      <c r="M465" s="25"/>
    </row>
    <row r="466" spans="1:13" x14ac:dyDescent="0.25">
      <c r="A466" s="25"/>
      <c r="B466" s="25"/>
      <c r="C466" s="25"/>
      <c r="D466" s="25"/>
      <c r="E466" s="25"/>
      <c r="F466" s="25"/>
      <c r="G466" s="25"/>
      <c r="H466" s="26"/>
      <c r="I466" s="25"/>
      <c r="J466" s="25"/>
      <c r="K466" s="25"/>
      <c r="L466" s="25"/>
      <c r="M466" s="25"/>
    </row>
    <row r="467" spans="1:13" x14ac:dyDescent="0.25">
      <c r="A467" s="25"/>
      <c r="B467" s="25"/>
      <c r="C467" s="25"/>
      <c r="D467" s="25"/>
      <c r="E467" s="25"/>
      <c r="F467" s="25"/>
      <c r="G467" s="25"/>
      <c r="H467" s="26"/>
      <c r="I467" s="25"/>
      <c r="J467" s="25"/>
      <c r="K467" s="25"/>
      <c r="L467" s="25"/>
      <c r="M467" s="25"/>
    </row>
    <row r="468" spans="1:13" x14ac:dyDescent="0.25">
      <c r="A468" s="25"/>
      <c r="B468" s="25"/>
      <c r="C468" s="25"/>
      <c r="D468" s="25"/>
      <c r="E468" s="25"/>
      <c r="F468" s="25"/>
      <c r="G468" s="25"/>
      <c r="H468" s="26"/>
      <c r="I468" s="25"/>
      <c r="J468" s="25"/>
      <c r="K468" s="25"/>
      <c r="L468" s="25"/>
      <c r="M468" s="25"/>
    </row>
    <row r="469" spans="1:13" x14ac:dyDescent="0.25">
      <c r="A469" s="25"/>
      <c r="B469" s="25"/>
      <c r="C469" s="25"/>
      <c r="D469" s="25"/>
      <c r="E469" s="25"/>
      <c r="F469" s="25"/>
      <c r="G469" s="25"/>
      <c r="H469" s="26"/>
      <c r="I469" s="25"/>
      <c r="J469" s="25"/>
      <c r="K469" s="25"/>
      <c r="L469" s="25"/>
      <c r="M469" s="25"/>
    </row>
    <row r="470" spans="1:13" x14ac:dyDescent="0.25">
      <c r="A470" s="25"/>
      <c r="B470" s="25"/>
      <c r="C470" s="25"/>
      <c r="D470" s="25"/>
      <c r="E470" s="25"/>
      <c r="F470" s="25"/>
      <c r="G470" s="25"/>
      <c r="H470" s="26"/>
      <c r="I470" s="25"/>
      <c r="J470" s="25"/>
      <c r="K470" s="25"/>
      <c r="L470" s="25"/>
      <c r="M470" s="25"/>
    </row>
    <row r="471" spans="1:13" x14ac:dyDescent="0.25">
      <c r="A471" s="25"/>
      <c r="B471" s="25"/>
      <c r="C471" s="25"/>
      <c r="D471" s="25"/>
      <c r="E471" s="25"/>
      <c r="F471" s="25"/>
      <c r="G471" s="25"/>
      <c r="H471" s="26"/>
      <c r="I471" s="25"/>
      <c r="J471" s="25"/>
      <c r="K471" s="25"/>
      <c r="L471" s="25"/>
      <c r="M471" s="25"/>
    </row>
    <row r="472" spans="1:13" x14ac:dyDescent="0.25">
      <c r="A472" s="25"/>
      <c r="B472" s="25"/>
      <c r="C472" s="25"/>
      <c r="D472" s="25"/>
      <c r="E472" s="25"/>
      <c r="F472" s="25"/>
      <c r="G472" s="25"/>
      <c r="H472" s="26"/>
      <c r="I472" s="25"/>
      <c r="J472" s="25"/>
      <c r="K472" s="25"/>
      <c r="L472" s="25"/>
      <c r="M472" s="25"/>
    </row>
    <row r="473" spans="1:13" x14ac:dyDescent="0.25">
      <c r="A473" s="25"/>
      <c r="B473" s="25"/>
      <c r="C473" s="25"/>
      <c r="D473" s="25"/>
      <c r="E473" s="25"/>
      <c r="F473" s="25"/>
      <c r="G473" s="25"/>
      <c r="H473" s="26"/>
      <c r="I473" s="25"/>
      <c r="J473" s="25"/>
      <c r="K473" s="25"/>
      <c r="L473" s="25"/>
      <c r="M473" s="25"/>
    </row>
    <row r="474" spans="1:13" x14ac:dyDescent="0.25">
      <c r="A474" s="25"/>
      <c r="B474" s="25"/>
      <c r="C474" s="25"/>
      <c r="D474" s="25"/>
      <c r="E474" s="25"/>
      <c r="F474" s="25"/>
      <c r="G474" s="25"/>
      <c r="H474" s="26"/>
      <c r="I474" s="25"/>
      <c r="J474" s="25"/>
      <c r="K474" s="25"/>
      <c r="L474" s="25"/>
      <c r="M474" s="25"/>
    </row>
    <row r="475" spans="1:13" x14ac:dyDescent="0.25">
      <c r="A475" s="25"/>
      <c r="B475" s="25"/>
      <c r="C475" s="25"/>
      <c r="D475" s="25"/>
      <c r="E475" s="25"/>
      <c r="F475" s="25"/>
      <c r="G475" s="25"/>
      <c r="H475" s="26"/>
      <c r="I475" s="25"/>
      <c r="J475" s="25"/>
      <c r="K475" s="25"/>
      <c r="L475" s="25"/>
      <c r="M475" s="25"/>
    </row>
    <row r="476" spans="1:13" x14ac:dyDescent="0.25">
      <c r="A476" s="25"/>
      <c r="B476" s="25"/>
      <c r="C476" s="25"/>
      <c r="D476" s="25"/>
      <c r="E476" s="25"/>
      <c r="F476" s="25"/>
      <c r="G476" s="25"/>
      <c r="H476" s="26"/>
      <c r="I476" s="25"/>
      <c r="J476" s="25"/>
      <c r="K476" s="25"/>
      <c r="L476" s="25"/>
      <c r="M476" s="25"/>
    </row>
    <row r="477" spans="1:13" x14ac:dyDescent="0.25">
      <c r="A477" s="25"/>
      <c r="B477" s="25"/>
      <c r="C477" s="25"/>
      <c r="D477" s="25"/>
      <c r="E477" s="25"/>
      <c r="F477" s="25"/>
      <c r="G477" s="25"/>
      <c r="H477" s="26"/>
      <c r="I477" s="25"/>
      <c r="J477" s="25"/>
      <c r="K477" s="25"/>
      <c r="L477" s="25"/>
      <c r="M477" s="25"/>
    </row>
    <row r="478" spans="1:13" x14ac:dyDescent="0.25">
      <c r="A478" s="25"/>
      <c r="B478" s="25"/>
      <c r="C478" s="25"/>
      <c r="D478" s="25"/>
      <c r="E478" s="25"/>
      <c r="F478" s="25"/>
      <c r="G478" s="25"/>
      <c r="H478" s="26"/>
      <c r="I478" s="25"/>
      <c r="J478" s="25"/>
      <c r="K478" s="25"/>
      <c r="L478" s="25"/>
      <c r="M478" s="25"/>
    </row>
    <row r="479" spans="1:13" x14ac:dyDescent="0.25">
      <c r="A479" s="25"/>
      <c r="B479" s="25"/>
      <c r="C479" s="25"/>
      <c r="D479" s="25"/>
      <c r="E479" s="25"/>
      <c r="F479" s="25"/>
      <c r="G479" s="25"/>
      <c r="H479" s="26"/>
      <c r="I479" s="25"/>
      <c r="J479" s="25"/>
      <c r="K479" s="25"/>
      <c r="L479" s="25"/>
      <c r="M479" s="25"/>
    </row>
    <row r="480" spans="1:13" x14ac:dyDescent="0.25">
      <c r="A480" s="25"/>
      <c r="B480" s="25"/>
      <c r="C480" s="25"/>
      <c r="D480" s="25"/>
      <c r="E480" s="25"/>
      <c r="F480" s="25"/>
      <c r="G480" s="25"/>
      <c r="H480" s="26"/>
      <c r="I480" s="25"/>
      <c r="J480" s="25"/>
      <c r="K480" s="25"/>
      <c r="L480" s="25"/>
      <c r="M480" s="25"/>
    </row>
    <row r="481" spans="1:13" x14ac:dyDescent="0.25">
      <c r="A481" s="25"/>
      <c r="B481" s="25"/>
      <c r="C481" s="25"/>
      <c r="D481" s="25"/>
      <c r="E481" s="25"/>
      <c r="F481" s="25"/>
      <c r="G481" s="25"/>
      <c r="H481" s="26"/>
      <c r="I481" s="25"/>
      <c r="J481" s="25"/>
      <c r="K481" s="25"/>
      <c r="L481" s="25"/>
      <c r="M481" s="25"/>
    </row>
    <row r="482" spans="1:13" x14ac:dyDescent="0.25">
      <c r="A482" s="25"/>
      <c r="B482" s="25"/>
      <c r="C482" s="25"/>
      <c r="D482" s="25"/>
      <c r="E482" s="25"/>
      <c r="F482" s="25"/>
      <c r="G482" s="25"/>
      <c r="H482" s="26"/>
      <c r="I482" s="25"/>
      <c r="J482" s="25"/>
      <c r="K482" s="25"/>
      <c r="L482" s="25"/>
      <c r="M482" s="25"/>
    </row>
    <row r="483" spans="1:13" x14ac:dyDescent="0.25">
      <c r="A483" s="25"/>
      <c r="B483" s="25"/>
      <c r="C483" s="25"/>
      <c r="D483" s="25"/>
      <c r="E483" s="25"/>
      <c r="F483" s="25"/>
      <c r="G483" s="25"/>
      <c r="H483" s="26"/>
      <c r="I483" s="25"/>
      <c r="J483" s="25"/>
      <c r="K483" s="25"/>
      <c r="L483" s="25"/>
      <c r="M483" s="25"/>
    </row>
    <row r="484" spans="1:13" x14ac:dyDescent="0.25">
      <c r="A484" s="25"/>
      <c r="B484" s="25"/>
      <c r="C484" s="25"/>
      <c r="D484" s="25"/>
      <c r="E484" s="25"/>
      <c r="F484" s="25"/>
      <c r="G484" s="25"/>
      <c r="H484" s="26"/>
      <c r="I484" s="25"/>
      <c r="J484" s="25"/>
      <c r="K484" s="25"/>
      <c r="L484" s="25"/>
      <c r="M484" s="25"/>
    </row>
    <row r="485" spans="1:13" x14ac:dyDescent="0.25">
      <c r="A485" s="25"/>
      <c r="B485" s="25"/>
      <c r="C485" s="25"/>
      <c r="D485" s="25"/>
      <c r="E485" s="25"/>
      <c r="F485" s="25"/>
      <c r="G485" s="25"/>
      <c r="H485" s="26"/>
      <c r="I485" s="25"/>
      <c r="J485" s="25"/>
      <c r="K485" s="25"/>
      <c r="L485" s="25"/>
      <c r="M485" s="25"/>
    </row>
    <row r="486" spans="1:13" x14ac:dyDescent="0.25">
      <c r="A486" s="25"/>
      <c r="B486" s="25"/>
      <c r="C486" s="25"/>
      <c r="D486" s="25"/>
      <c r="E486" s="25"/>
      <c r="F486" s="25"/>
      <c r="G486" s="25"/>
      <c r="H486" s="26"/>
      <c r="I486" s="25"/>
      <c r="J486" s="25"/>
      <c r="K486" s="25"/>
      <c r="L486" s="25"/>
      <c r="M486" s="25"/>
    </row>
    <row r="487" spans="1:13" x14ac:dyDescent="0.25">
      <c r="A487" s="25"/>
      <c r="B487" s="25"/>
      <c r="C487" s="25"/>
      <c r="D487" s="25"/>
      <c r="E487" s="25"/>
      <c r="F487" s="25"/>
      <c r="G487" s="25"/>
      <c r="H487" s="26"/>
      <c r="I487" s="25"/>
      <c r="J487" s="25"/>
      <c r="K487" s="25"/>
      <c r="L487" s="25"/>
      <c r="M487" s="25"/>
    </row>
    <row r="488" spans="1:13" x14ac:dyDescent="0.25">
      <c r="A488" s="25"/>
      <c r="B488" s="25"/>
      <c r="C488" s="25"/>
      <c r="D488" s="25"/>
      <c r="E488" s="25"/>
      <c r="F488" s="25"/>
      <c r="G488" s="25"/>
      <c r="H488" s="26"/>
      <c r="I488" s="25"/>
      <c r="J488" s="25"/>
      <c r="K488" s="25"/>
      <c r="L488" s="25"/>
      <c r="M488" s="25"/>
    </row>
    <row r="489" spans="1:13" x14ac:dyDescent="0.25">
      <c r="A489" s="25"/>
      <c r="B489" s="25"/>
      <c r="C489" s="25"/>
      <c r="D489" s="25"/>
      <c r="E489" s="25"/>
      <c r="F489" s="25"/>
      <c r="G489" s="25"/>
      <c r="H489" s="26"/>
      <c r="I489" s="25"/>
      <c r="J489" s="25"/>
      <c r="K489" s="25"/>
      <c r="L489" s="25"/>
      <c r="M489" s="25"/>
    </row>
    <row r="490" spans="1:13" x14ac:dyDescent="0.25">
      <c r="A490" s="25"/>
      <c r="B490" s="25"/>
      <c r="C490" s="25"/>
      <c r="D490" s="25"/>
      <c r="E490" s="25"/>
      <c r="F490" s="25"/>
      <c r="G490" s="25"/>
      <c r="H490" s="26"/>
      <c r="I490" s="25"/>
      <c r="J490" s="25"/>
      <c r="K490" s="25"/>
      <c r="L490" s="25"/>
      <c r="M490" s="25"/>
    </row>
    <row r="491" spans="1:13" x14ac:dyDescent="0.25">
      <c r="A491" s="25"/>
      <c r="B491" s="25"/>
      <c r="C491" s="25"/>
      <c r="D491" s="25"/>
      <c r="E491" s="25"/>
      <c r="F491" s="25"/>
      <c r="G491" s="25"/>
      <c r="H491" s="26"/>
      <c r="I491" s="25"/>
      <c r="J491" s="25"/>
      <c r="K491" s="25"/>
      <c r="L491" s="25"/>
      <c r="M491" s="25"/>
    </row>
    <row r="492" spans="1:13" x14ac:dyDescent="0.25">
      <c r="A492" s="25"/>
      <c r="B492" s="25"/>
      <c r="C492" s="25"/>
      <c r="D492" s="25"/>
      <c r="E492" s="25"/>
      <c r="F492" s="25"/>
      <c r="G492" s="25"/>
      <c r="H492" s="26"/>
      <c r="I492" s="25"/>
      <c r="J492" s="25"/>
      <c r="K492" s="25"/>
      <c r="L492" s="25"/>
      <c r="M492" s="25"/>
    </row>
    <row r="493" spans="1:13" x14ac:dyDescent="0.25">
      <c r="A493" s="25"/>
      <c r="B493" s="25"/>
      <c r="C493" s="25"/>
      <c r="D493" s="25"/>
      <c r="E493" s="25"/>
      <c r="F493" s="25"/>
      <c r="G493" s="25"/>
      <c r="H493" s="26"/>
      <c r="I493" s="25"/>
      <c r="J493" s="25"/>
      <c r="K493" s="25"/>
      <c r="L493" s="25"/>
      <c r="M493" s="25"/>
    </row>
    <row r="494" spans="1:13" x14ac:dyDescent="0.25">
      <c r="A494" s="25"/>
      <c r="B494" s="25"/>
      <c r="C494" s="25"/>
      <c r="D494" s="25"/>
      <c r="E494" s="25"/>
      <c r="F494" s="25"/>
      <c r="G494" s="25"/>
      <c r="H494" s="26"/>
      <c r="I494" s="25"/>
      <c r="J494" s="25"/>
      <c r="K494" s="25"/>
      <c r="L494" s="25"/>
      <c r="M494" s="25"/>
    </row>
    <row r="495" spans="1:13" x14ac:dyDescent="0.25">
      <c r="A495" s="25"/>
      <c r="B495" s="25"/>
      <c r="C495" s="25"/>
      <c r="D495" s="25"/>
      <c r="E495" s="25"/>
      <c r="F495" s="25"/>
      <c r="G495" s="25"/>
      <c r="H495" s="26"/>
      <c r="I495" s="25"/>
      <c r="J495" s="25"/>
      <c r="K495" s="25"/>
      <c r="L495" s="25"/>
      <c r="M495" s="25"/>
    </row>
    <row r="496" spans="1:13" x14ac:dyDescent="0.25">
      <c r="A496" s="25"/>
      <c r="B496" s="25"/>
      <c r="C496" s="25"/>
      <c r="D496" s="25"/>
      <c r="E496" s="25"/>
      <c r="F496" s="25"/>
      <c r="G496" s="25"/>
      <c r="H496" s="26"/>
      <c r="I496" s="25"/>
      <c r="J496" s="25"/>
      <c r="K496" s="25"/>
      <c r="L496" s="25"/>
      <c r="M496" s="25"/>
    </row>
    <row r="497" spans="1:13" x14ac:dyDescent="0.25">
      <c r="A497" s="25"/>
      <c r="B497" s="25"/>
      <c r="C497" s="25"/>
      <c r="D497" s="25"/>
      <c r="E497" s="25"/>
      <c r="F497" s="25"/>
      <c r="G497" s="25"/>
      <c r="H497" s="26"/>
      <c r="I497" s="25"/>
      <c r="J497" s="25"/>
      <c r="K497" s="25"/>
      <c r="L497" s="25"/>
      <c r="M497" s="25"/>
    </row>
    <row r="498" spans="1:13" x14ac:dyDescent="0.25">
      <c r="A498" s="25"/>
      <c r="B498" s="25"/>
      <c r="C498" s="25"/>
      <c r="D498" s="25"/>
      <c r="E498" s="25"/>
      <c r="F498" s="25"/>
      <c r="G498" s="25"/>
      <c r="H498" s="26"/>
      <c r="I498" s="25"/>
      <c r="J498" s="25"/>
      <c r="K498" s="25"/>
      <c r="L498" s="25"/>
      <c r="M498" s="25"/>
    </row>
    <row r="499" spans="1:13" x14ac:dyDescent="0.25">
      <c r="A499" s="25"/>
      <c r="B499" s="25"/>
      <c r="C499" s="25"/>
      <c r="D499" s="25"/>
      <c r="E499" s="25"/>
      <c r="F499" s="25"/>
      <c r="G499" s="25"/>
      <c r="H499" s="26"/>
      <c r="I499" s="25"/>
      <c r="J499" s="25"/>
      <c r="K499" s="25"/>
      <c r="L499" s="25"/>
      <c r="M499" s="25"/>
    </row>
    <row r="500" spans="1:13" x14ac:dyDescent="0.25">
      <c r="A500" s="25"/>
      <c r="B500" s="25"/>
      <c r="C500" s="25"/>
      <c r="D500" s="25"/>
      <c r="E500" s="25"/>
      <c r="F500" s="25"/>
      <c r="G500" s="25"/>
      <c r="H500" s="26"/>
      <c r="I500" s="25"/>
      <c r="J500" s="25"/>
      <c r="K500" s="25"/>
      <c r="L500" s="25"/>
      <c r="M500" s="25"/>
    </row>
    <row r="501" spans="1:13" x14ac:dyDescent="0.25">
      <c r="A501" s="25"/>
      <c r="B501" s="25"/>
      <c r="C501" s="25"/>
      <c r="D501" s="25"/>
      <c r="E501" s="25"/>
      <c r="F501" s="25"/>
      <c r="G501" s="25"/>
      <c r="H501" s="26"/>
      <c r="I501" s="25"/>
      <c r="J501" s="25"/>
      <c r="K501" s="25"/>
      <c r="L501" s="25"/>
      <c r="M501" s="25"/>
    </row>
    <row r="502" spans="1:13" x14ac:dyDescent="0.25">
      <c r="A502" s="25"/>
      <c r="B502" s="25"/>
      <c r="C502" s="25"/>
      <c r="D502" s="25"/>
      <c r="E502" s="25"/>
      <c r="F502" s="25"/>
      <c r="G502" s="25"/>
      <c r="H502" s="26"/>
      <c r="I502" s="25"/>
      <c r="J502" s="25"/>
      <c r="K502" s="25"/>
      <c r="L502" s="25"/>
      <c r="M502" s="25"/>
    </row>
    <row r="503" spans="1:13" x14ac:dyDescent="0.25">
      <c r="A503" s="25"/>
      <c r="B503" s="25"/>
      <c r="C503" s="25"/>
      <c r="D503" s="25"/>
      <c r="E503" s="25"/>
      <c r="F503" s="25"/>
      <c r="G503" s="25"/>
      <c r="H503" s="26"/>
      <c r="I503" s="25"/>
      <c r="J503" s="25"/>
      <c r="K503" s="25"/>
      <c r="L503" s="25"/>
      <c r="M503" s="25"/>
    </row>
    <row r="504" spans="1:13" x14ac:dyDescent="0.25">
      <c r="A504" s="25"/>
      <c r="B504" s="25"/>
      <c r="C504" s="25"/>
      <c r="D504" s="25"/>
      <c r="E504" s="25"/>
      <c r="F504" s="25"/>
      <c r="G504" s="25"/>
      <c r="H504" s="26"/>
      <c r="I504" s="25"/>
      <c r="J504" s="25"/>
      <c r="K504" s="25"/>
      <c r="L504" s="25"/>
      <c r="M504" s="25"/>
    </row>
    <row r="505" spans="1:13" x14ac:dyDescent="0.25">
      <c r="A505" s="25"/>
      <c r="B505" s="25"/>
      <c r="C505" s="25"/>
      <c r="D505" s="25"/>
      <c r="E505" s="25"/>
      <c r="F505" s="25"/>
      <c r="G505" s="25"/>
      <c r="H505" s="26"/>
      <c r="I505" s="25"/>
      <c r="J505" s="25"/>
      <c r="K505" s="25"/>
      <c r="L505" s="25"/>
      <c r="M505" s="25"/>
    </row>
    <row r="506" spans="1:13" x14ac:dyDescent="0.25">
      <c r="A506" s="25"/>
      <c r="B506" s="25"/>
      <c r="C506" s="25"/>
      <c r="D506" s="25"/>
      <c r="E506" s="25"/>
      <c r="F506" s="25"/>
      <c r="G506" s="25"/>
      <c r="H506" s="26"/>
      <c r="I506" s="25"/>
      <c r="J506" s="25"/>
      <c r="K506" s="25"/>
      <c r="L506" s="25"/>
      <c r="M506" s="25"/>
    </row>
    <row r="507" spans="1:13" x14ac:dyDescent="0.25">
      <c r="A507" s="25"/>
      <c r="B507" s="25"/>
      <c r="C507" s="25"/>
      <c r="D507" s="25"/>
      <c r="E507" s="25"/>
      <c r="F507" s="25"/>
      <c r="G507" s="25"/>
      <c r="H507" s="26"/>
      <c r="I507" s="25"/>
      <c r="J507" s="25"/>
      <c r="K507" s="25"/>
      <c r="L507" s="25"/>
      <c r="M507" s="25"/>
    </row>
    <row r="508" spans="1:13" x14ac:dyDescent="0.25">
      <c r="A508" s="25"/>
      <c r="B508" s="25"/>
      <c r="C508" s="25"/>
      <c r="D508" s="25"/>
      <c r="E508" s="25"/>
      <c r="F508" s="25"/>
      <c r="G508" s="25"/>
      <c r="H508" s="26"/>
      <c r="I508" s="25"/>
      <c r="J508" s="25"/>
      <c r="K508" s="25"/>
      <c r="L508" s="25"/>
      <c r="M508" s="25"/>
    </row>
    <row r="509" spans="1:13" x14ac:dyDescent="0.25">
      <c r="A509" s="25"/>
      <c r="B509" s="25"/>
      <c r="C509" s="25"/>
      <c r="D509" s="25"/>
      <c r="E509" s="25"/>
      <c r="F509" s="25"/>
      <c r="G509" s="25"/>
      <c r="H509" s="26"/>
      <c r="I509" s="25"/>
      <c r="J509" s="25"/>
      <c r="K509" s="25"/>
      <c r="L509" s="25"/>
      <c r="M509" s="25"/>
    </row>
    <row r="510" spans="1:13" x14ac:dyDescent="0.25">
      <c r="A510" s="25"/>
      <c r="B510" s="25"/>
      <c r="C510" s="25"/>
      <c r="D510" s="25"/>
      <c r="E510" s="25"/>
      <c r="F510" s="25"/>
      <c r="G510" s="25"/>
      <c r="H510" s="26"/>
      <c r="I510" s="25"/>
      <c r="J510" s="25"/>
      <c r="K510" s="25"/>
      <c r="L510" s="25"/>
      <c r="M510" s="25"/>
    </row>
    <row r="511" spans="1:13" x14ac:dyDescent="0.25">
      <c r="A511" s="25"/>
      <c r="B511" s="25"/>
      <c r="C511" s="25"/>
      <c r="D511" s="25"/>
      <c r="E511" s="25"/>
      <c r="F511" s="25"/>
      <c r="G511" s="25"/>
      <c r="H511" s="26"/>
      <c r="I511" s="25"/>
      <c r="J511" s="25"/>
      <c r="K511" s="25"/>
      <c r="L511" s="25"/>
      <c r="M511" s="25"/>
    </row>
    <row r="512" spans="1:13" x14ac:dyDescent="0.25">
      <c r="A512" s="25"/>
      <c r="B512" s="25"/>
      <c r="C512" s="25"/>
      <c r="D512" s="25"/>
      <c r="E512" s="25"/>
      <c r="F512" s="25"/>
      <c r="G512" s="25"/>
      <c r="H512" s="26"/>
      <c r="I512" s="25"/>
      <c r="J512" s="25"/>
      <c r="K512" s="25"/>
      <c r="L512" s="25"/>
      <c r="M512" s="25"/>
    </row>
    <row r="513" spans="1:13" x14ac:dyDescent="0.25">
      <c r="A513" s="25"/>
      <c r="B513" s="25"/>
      <c r="C513" s="25"/>
      <c r="D513" s="25"/>
      <c r="E513" s="25"/>
      <c r="F513" s="25"/>
      <c r="G513" s="25"/>
      <c r="H513" s="26"/>
      <c r="I513" s="25"/>
      <c r="J513" s="25"/>
      <c r="K513" s="25"/>
      <c r="L513" s="25"/>
      <c r="M513" s="25"/>
    </row>
    <row r="514" spans="1:13" x14ac:dyDescent="0.25">
      <c r="A514" s="25"/>
      <c r="B514" s="25"/>
      <c r="C514" s="25"/>
      <c r="D514" s="25"/>
      <c r="E514" s="25"/>
      <c r="F514" s="25"/>
      <c r="G514" s="25"/>
      <c r="H514" s="26"/>
      <c r="I514" s="25"/>
      <c r="J514" s="25"/>
      <c r="K514" s="25"/>
      <c r="L514" s="25"/>
      <c r="M514" s="25"/>
    </row>
    <row r="515" spans="1:13" x14ac:dyDescent="0.25">
      <c r="A515" s="25"/>
      <c r="B515" s="25"/>
      <c r="C515" s="25"/>
      <c r="D515" s="25"/>
      <c r="E515" s="25"/>
      <c r="F515" s="25"/>
      <c r="G515" s="25"/>
      <c r="H515" s="26"/>
      <c r="I515" s="25"/>
      <c r="J515" s="25"/>
      <c r="K515" s="25"/>
      <c r="L515" s="25"/>
      <c r="M515" s="25"/>
    </row>
    <row r="516" spans="1:13" x14ac:dyDescent="0.25">
      <c r="A516" s="25"/>
      <c r="B516" s="25"/>
      <c r="C516" s="25"/>
      <c r="D516" s="25"/>
      <c r="E516" s="25"/>
      <c r="F516" s="25"/>
      <c r="G516" s="25"/>
      <c r="H516" s="26"/>
      <c r="I516" s="25"/>
      <c r="J516" s="25"/>
      <c r="K516" s="25"/>
      <c r="L516" s="25"/>
      <c r="M516" s="25"/>
    </row>
    <row r="517" spans="1:13" x14ac:dyDescent="0.25">
      <c r="A517" s="25"/>
      <c r="B517" s="25"/>
      <c r="C517" s="25"/>
      <c r="D517" s="25"/>
      <c r="E517" s="25"/>
      <c r="F517" s="25"/>
      <c r="G517" s="25"/>
      <c r="H517" s="26"/>
      <c r="I517" s="25"/>
      <c r="J517" s="25"/>
      <c r="K517" s="25"/>
      <c r="L517" s="25"/>
      <c r="M517" s="25"/>
    </row>
    <row r="518" spans="1:13" x14ac:dyDescent="0.25">
      <c r="A518" s="25"/>
      <c r="B518" s="25"/>
      <c r="C518" s="25"/>
      <c r="D518" s="25"/>
      <c r="E518" s="25"/>
      <c r="F518" s="25"/>
      <c r="G518" s="25"/>
      <c r="H518" s="26"/>
      <c r="I518" s="25"/>
      <c r="J518" s="25"/>
      <c r="K518" s="25"/>
      <c r="L518" s="25"/>
      <c r="M518" s="25"/>
    </row>
    <row r="519" spans="1:13" x14ac:dyDescent="0.25">
      <c r="A519" s="25"/>
      <c r="B519" s="25"/>
      <c r="C519" s="25"/>
      <c r="D519" s="25"/>
      <c r="E519" s="25"/>
      <c r="F519" s="25"/>
      <c r="G519" s="25"/>
      <c r="H519" s="26"/>
      <c r="I519" s="25"/>
      <c r="J519" s="25"/>
      <c r="K519" s="25"/>
      <c r="L519" s="25"/>
      <c r="M519" s="25"/>
    </row>
    <row r="520" spans="1:13" x14ac:dyDescent="0.25">
      <c r="A520" s="25"/>
      <c r="B520" s="25"/>
      <c r="C520" s="25"/>
      <c r="D520" s="25"/>
      <c r="E520" s="25"/>
      <c r="F520" s="25"/>
      <c r="G520" s="25"/>
      <c r="H520" s="26"/>
      <c r="I520" s="25"/>
      <c r="J520" s="25"/>
      <c r="K520" s="25"/>
      <c r="L520" s="25"/>
      <c r="M520" s="25"/>
    </row>
    <row r="521" spans="1:13" x14ac:dyDescent="0.25">
      <c r="A521" s="25"/>
      <c r="B521" s="25"/>
      <c r="C521" s="25"/>
      <c r="D521" s="25"/>
      <c r="E521" s="25"/>
      <c r="F521" s="25"/>
      <c r="G521" s="25"/>
      <c r="H521" s="26"/>
      <c r="I521" s="25"/>
      <c r="J521" s="25"/>
      <c r="K521" s="25"/>
      <c r="L521" s="25"/>
      <c r="M521" s="25"/>
    </row>
    <row r="522" spans="1:13" x14ac:dyDescent="0.25">
      <c r="A522" s="25"/>
      <c r="B522" s="25"/>
      <c r="C522" s="25"/>
      <c r="D522" s="25"/>
      <c r="E522" s="25"/>
      <c r="F522" s="25"/>
      <c r="G522" s="25"/>
      <c r="H522" s="26"/>
      <c r="I522" s="25"/>
      <c r="J522" s="25"/>
      <c r="K522" s="25"/>
      <c r="L522" s="25"/>
      <c r="M522" s="25"/>
    </row>
    <row r="523" spans="1:13" x14ac:dyDescent="0.25">
      <c r="A523" s="25"/>
      <c r="B523" s="25"/>
      <c r="C523" s="25"/>
      <c r="D523" s="25"/>
      <c r="E523" s="25"/>
      <c r="F523" s="25"/>
      <c r="G523" s="25"/>
      <c r="H523" s="26"/>
      <c r="I523" s="25"/>
      <c r="J523" s="25"/>
      <c r="K523" s="25"/>
      <c r="L523" s="25"/>
      <c r="M523" s="25"/>
    </row>
    <row r="524" spans="1:13" x14ac:dyDescent="0.25">
      <c r="A524" s="25"/>
      <c r="B524" s="25"/>
      <c r="C524" s="25"/>
      <c r="D524" s="25"/>
      <c r="E524" s="25"/>
      <c r="F524" s="25"/>
      <c r="G524" s="25"/>
      <c r="H524" s="26"/>
      <c r="I524" s="25"/>
      <c r="J524" s="25"/>
      <c r="K524" s="25"/>
      <c r="L524" s="25"/>
      <c r="M524" s="25"/>
    </row>
    <row r="525" spans="1:13" x14ac:dyDescent="0.25">
      <c r="A525" s="25"/>
      <c r="B525" s="25"/>
      <c r="C525" s="25"/>
      <c r="D525" s="25"/>
      <c r="E525" s="25"/>
      <c r="F525" s="25"/>
      <c r="G525" s="25"/>
      <c r="H525" s="26"/>
      <c r="I525" s="25"/>
      <c r="J525" s="25"/>
      <c r="K525" s="25"/>
      <c r="L525" s="25"/>
      <c r="M525" s="25"/>
    </row>
    <row r="526" spans="1:13" x14ac:dyDescent="0.25">
      <c r="A526" s="25"/>
      <c r="B526" s="25"/>
      <c r="C526" s="25"/>
      <c r="D526" s="25"/>
      <c r="E526" s="25"/>
      <c r="F526" s="25"/>
      <c r="G526" s="25"/>
      <c r="H526" s="26"/>
      <c r="I526" s="25"/>
      <c r="J526" s="25"/>
      <c r="K526" s="25"/>
      <c r="L526" s="25"/>
      <c r="M526" s="25"/>
    </row>
    <row r="527" spans="1:13" x14ac:dyDescent="0.25">
      <c r="A527" s="25"/>
      <c r="B527" s="25"/>
      <c r="C527" s="25"/>
      <c r="D527" s="25"/>
      <c r="E527" s="25"/>
      <c r="F527" s="25"/>
      <c r="G527" s="25"/>
      <c r="H527" s="26"/>
      <c r="I527" s="25"/>
      <c r="J527" s="25"/>
      <c r="K527" s="25"/>
      <c r="L527" s="25"/>
      <c r="M527" s="25"/>
    </row>
    <row r="528" spans="1:13" x14ac:dyDescent="0.25">
      <c r="A528" s="25"/>
      <c r="B528" s="25"/>
      <c r="C528" s="25"/>
      <c r="D528" s="25"/>
      <c r="E528" s="25"/>
      <c r="F528" s="25"/>
      <c r="G528" s="25"/>
      <c r="H528" s="26"/>
      <c r="I528" s="25"/>
      <c r="J528" s="25"/>
      <c r="K528" s="25"/>
      <c r="L528" s="25"/>
      <c r="M528" s="25"/>
    </row>
    <row r="529" spans="1:13" x14ac:dyDescent="0.25">
      <c r="A529" s="25"/>
      <c r="B529" s="25"/>
      <c r="C529" s="25"/>
      <c r="D529" s="25"/>
      <c r="E529" s="25"/>
      <c r="F529" s="25"/>
      <c r="G529" s="25"/>
      <c r="H529" s="26"/>
      <c r="I529" s="25"/>
      <c r="J529" s="25"/>
      <c r="K529" s="25"/>
      <c r="L529" s="25"/>
      <c r="M529" s="25"/>
    </row>
    <row r="530" spans="1:13" x14ac:dyDescent="0.25">
      <c r="A530" s="25"/>
      <c r="B530" s="25"/>
      <c r="C530" s="25"/>
      <c r="D530" s="25"/>
      <c r="E530" s="25"/>
      <c r="F530" s="25"/>
      <c r="G530" s="25"/>
      <c r="H530" s="26"/>
      <c r="I530" s="25"/>
      <c r="J530" s="25"/>
      <c r="K530" s="25"/>
      <c r="L530" s="25"/>
      <c r="M530" s="25"/>
    </row>
    <row r="531" spans="1:13" x14ac:dyDescent="0.25">
      <c r="A531" s="25"/>
      <c r="B531" s="25"/>
      <c r="C531" s="25"/>
      <c r="D531" s="25"/>
      <c r="E531" s="25"/>
      <c r="F531" s="25"/>
      <c r="G531" s="25"/>
      <c r="H531" s="26"/>
      <c r="I531" s="25"/>
      <c r="J531" s="25"/>
      <c r="K531" s="25"/>
      <c r="L531" s="25"/>
      <c r="M531" s="25"/>
    </row>
    <row r="532" spans="1:13" x14ac:dyDescent="0.25">
      <c r="A532" s="25"/>
      <c r="B532" s="25"/>
      <c r="C532" s="25"/>
      <c r="D532" s="25"/>
      <c r="E532" s="25"/>
      <c r="F532" s="25"/>
      <c r="G532" s="25"/>
      <c r="H532" s="26"/>
      <c r="I532" s="25"/>
      <c r="J532" s="25"/>
      <c r="K532" s="25"/>
      <c r="L532" s="25"/>
      <c r="M532" s="25"/>
    </row>
    <row r="533" spans="1:13" x14ac:dyDescent="0.25">
      <c r="A533" s="25"/>
      <c r="B533" s="25"/>
      <c r="C533" s="25"/>
      <c r="D533" s="25"/>
      <c r="E533" s="25"/>
      <c r="F533" s="25"/>
      <c r="G533" s="25"/>
      <c r="H533" s="26"/>
      <c r="I533" s="25"/>
      <c r="J533" s="25"/>
      <c r="K533" s="25"/>
      <c r="L533" s="25"/>
      <c r="M533" s="25"/>
    </row>
    <row r="534" spans="1:13" x14ac:dyDescent="0.25">
      <c r="A534" s="25"/>
      <c r="B534" s="25"/>
      <c r="C534" s="25"/>
      <c r="D534" s="25"/>
      <c r="E534" s="25"/>
      <c r="F534" s="25"/>
      <c r="G534" s="25"/>
      <c r="H534" s="26"/>
      <c r="I534" s="25"/>
      <c r="J534" s="25"/>
      <c r="K534" s="25"/>
      <c r="L534" s="25"/>
      <c r="M534" s="25"/>
    </row>
    <row r="535" spans="1:13" x14ac:dyDescent="0.25">
      <c r="A535" s="25"/>
      <c r="B535" s="25"/>
      <c r="C535" s="25"/>
      <c r="D535" s="25"/>
      <c r="E535" s="25"/>
      <c r="F535" s="25"/>
      <c r="G535" s="25"/>
      <c r="H535" s="26"/>
      <c r="I535" s="25"/>
      <c r="J535" s="25"/>
      <c r="K535" s="25"/>
      <c r="L535" s="25"/>
      <c r="M535" s="25"/>
    </row>
    <row r="536" spans="1:13" x14ac:dyDescent="0.25">
      <c r="A536" s="25"/>
      <c r="B536" s="25"/>
      <c r="C536" s="25"/>
      <c r="D536" s="25"/>
      <c r="E536" s="25"/>
      <c r="F536" s="25"/>
      <c r="G536" s="25"/>
      <c r="H536" s="26"/>
      <c r="I536" s="25"/>
      <c r="J536" s="25"/>
      <c r="K536" s="25"/>
      <c r="L536" s="25"/>
      <c r="M536" s="25"/>
    </row>
    <row r="537" spans="1:13" x14ac:dyDescent="0.25">
      <c r="A537" s="25"/>
      <c r="B537" s="25"/>
      <c r="C537" s="25"/>
      <c r="D537" s="25"/>
      <c r="E537" s="25"/>
      <c r="F537" s="25"/>
      <c r="G537" s="25"/>
      <c r="H537" s="26"/>
      <c r="I537" s="25"/>
      <c r="J537" s="25"/>
      <c r="K537" s="25"/>
      <c r="L537" s="25"/>
      <c r="M537" s="25"/>
    </row>
    <row r="538" spans="1:13" x14ac:dyDescent="0.25">
      <c r="A538" s="25"/>
      <c r="B538" s="25"/>
      <c r="C538" s="25"/>
      <c r="D538" s="25"/>
      <c r="E538" s="25"/>
      <c r="F538" s="25"/>
      <c r="G538" s="25"/>
      <c r="H538" s="26"/>
      <c r="I538" s="25"/>
      <c r="J538" s="25"/>
      <c r="K538" s="25"/>
      <c r="L538" s="25"/>
      <c r="M538" s="25"/>
    </row>
    <row r="539" spans="1:13" x14ac:dyDescent="0.25">
      <c r="A539" s="25"/>
      <c r="B539" s="25"/>
      <c r="C539" s="25"/>
      <c r="D539" s="25"/>
      <c r="E539" s="25"/>
      <c r="F539" s="25"/>
      <c r="G539" s="25"/>
      <c r="H539" s="26"/>
      <c r="I539" s="25"/>
      <c r="J539" s="25"/>
      <c r="K539" s="25"/>
      <c r="L539" s="25"/>
      <c r="M539" s="25"/>
    </row>
    <row r="540" spans="1:13" x14ac:dyDescent="0.25">
      <c r="A540" s="25"/>
      <c r="B540" s="25"/>
      <c r="C540" s="25"/>
      <c r="D540" s="25"/>
      <c r="E540" s="25"/>
      <c r="F540" s="25"/>
      <c r="G540" s="25"/>
      <c r="H540" s="26"/>
      <c r="I540" s="25"/>
      <c r="J540" s="25"/>
      <c r="K540" s="25"/>
      <c r="L540" s="25"/>
      <c r="M540" s="25"/>
    </row>
    <row r="541" spans="1:13" x14ac:dyDescent="0.25">
      <c r="A541" s="25"/>
      <c r="B541" s="25"/>
      <c r="C541" s="25"/>
      <c r="D541" s="25"/>
      <c r="E541" s="25"/>
      <c r="F541" s="25"/>
      <c r="G541" s="25"/>
      <c r="H541" s="26"/>
      <c r="I541" s="25"/>
      <c r="J541" s="25"/>
      <c r="K541" s="25"/>
      <c r="L541" s="25"/>
      <c r="M541" s="25"/>
    </row>
    <row r="542" spans="1:13" x14ac:dyDescent="0.25">
      <c r="A542" s="25"/>
      <c r="B542" s="25"/>
      <c r="C542" s="25"/>
      <c r="D542" s="25"/>
      <c r="E542" s="25"/>
      <c r="F542" s="25"/>
      <c r="G542" s="25"/>
      <c r="H542" s="26"/>
      <c r="I542" s="25"/>
      <c r="J542" s="25"/>
      <c r="K542" s="25"/>
      <c r="L542" s="25"/>
      <c r="M542" s="25"/>
    </row>
    <row r="543" spans="1:13" x14ac:dyDescent="0.25">
      <c r="A543" s="25"/>
      <c r="B543" s="25"/>
      <c r="C543" s="25"/>
      <c r="D543" s="25"/>
      <c r="E543" s="25"/>
      <c r="F543" s="25"/>
      <c r="G543" s="25"/>
      <c r="H543" s="26"/>
      <c r="I543" s="25"/>
      <c r="J543" s="25"/>
      <c r="K543" s="25"/>
      <c r="L543" s="25"/>
      <c r="M543" s="25"/>
    </row>
    <row r="544" spans="1:13" x14ac:dyDescent="0.25">
      <c r="A544" s="25"/>
      <c r="B544" s="25"/>
      <c r="C544" s="25"/>
      <c r="D544" s="25"/>
      <c r="E544" s="25"/>
      <c r="F544" s="25"/>
      <c r="G544" s="25"/>
      <c r="H544" s="26"/>
      <c r="I544" s="25"/>
      <c r="J544" s="25"/>
      <c r="K544" s="25"/>
      <c r="L544" s="25"/>
      <c r="M544" s="25"/>
    </row>
    <row r="545" spans="1:13" x14ac:dyDescent="0.25">
      <c r="A545" s="25"/>
      <c r="B545" s="25"/>
      <c r="C545" s="25"/>
      <c r="D545" s="25"/>
      <c r="E545" s="25"/>
      <c r="F545" s="25"/>
      <c r="G545" s="25"/>
      <c r="H545" s="26"/>
      <c r="I545" s="25"/>
      <c r="J545" s="25"/>
      <c r="K545" s="25"/>
      <c r="L545" s="25"/>
      <c r="M545" s="25"/>
    </row>
    <row r="546" spans="1:13" x14ac:dyDescent="0.25">
      <c r="A546" s="25"/>
      <c r="B546" s="25"/>
      <c r="C546" s="25"/>
      <c r="D546" s="25"/>
      <c r="E546" s="25"/>
      <c r="F546" s="25"/>
      <c r="G546" s="25"/>
      <c r="H546" s="26"/>
      <c r="I546" s="25"/>
      <c r="J546" s="25"/>
      <c r="K546" s="25"/>
      <c r="L546" s="25"/>
      <c r="M546" s="25"/>
    </row>
    <row r="547" spans="1:13" x14ac:dyDescent="0.25">
      <c r="A547" s="25"/>
      <c r="B547" s="25"/>
      <c r="C547" s="25"/>
      <c r="D547" s="25"/>
      <c r="E547" s="25"/>
      <c r="F547" s="25"/>
      <c r="G547" s="25"/>
      <c r="H547" s="26"/>
      <c r="I547" s="25"/>
      <c r="J547" s="25"/>
      <c r="K547" s="25"/>
      <c r="L547" s="25"/>
      <c r="M547" s="25"/>
    </row>
    <row r="548" spans="1:13" x14ac:dyDescent="0.25">
      <c r="A548" s="25"/>
      <c r="B548" s="25"/>
      <c r="C548" s="25"/>
      <c r="D548" s="25"/>
      <c r="E548" s="25"/>
      <c r="F548" s="25"/>
      <c r="G548" s="25"/>
      <c r="H548" s="26"/>
      <c r="I548" s="25"/>
      <c r="J548" s="25"/>
      <c r="K548" s="25"/>
      <c r="L548" s="25"/>
      <c r="M548" s="25"/>
    </row>
    <row r="549" spans="1:13" x14ac:dyDescent="0.25">
      <c r="A549" s="25"/>
      <c r="B549" s="25"/>
      <c r="C549" s="25"/>
      <c r="D549" s="25"/>
      <c r="E549" s="25"/>
      <c r="F549" s="25"/>
      <c r="G549" s="25"/>
      <c r="H549" s="26"/>
      <c r="I549" s="25"/>
      <c r="J549" s="25"/>
      <c r="K549" s="25"/>
      <c r="L549" s="25"/>
      <c r="M549" s="25"/>
    </row>
    <row r="550" spans="1:13" x14ac:dyDescent="0.25">
      <c r="A550" s="25"/>
      <c r="B550" s="25"/>
      <c r="C550" s="25"/>
      <c r="D550" s="25"/>
      <c r="E550" s="25"/>
      <c r="F550" s="25"/>
      <c r="G550" s="25"/>
      <c r="H550" s="26"/>
      <c r="I550" s="25"/>
      <c r="J550" s="25"/>
      <c r="K550" s="25"/>
      <c r="L550" s="25"/>
      <c r="M550" s="25"/>
    </row>
    <row r="551" spans="1:13" x14ac:dyDescent="0.25">
      <c r="A551" s="25"/>
      <c r="B551" s="25"/>
      <c r="C551" s="25"/>
      <c r="D551" s="25"/>
      <c r="E551" s="25"/>
      <c r="F551" s="25"/>
      <c r="G551" s="25"/>
      <c r="H551" s="26"/>
      <c r="I551" s="25"/>
      <c r="J551" s="25"/>
      <c r="K551" s="25"/>
      <c r="L551" s="25"/>
      <c r="M551" s="25"/>
    </row>
    <row r="552" spans="1:13" x14ac:dyDescent="0.25">
      <c r="A552" s="25"/>
      <c r="B552" s="25"/>
      <c r="C552" s="25"/>
      <c r="D552" s="25"/>
      <c r="E552" s="25"/>
      <c r="F552" s="25"/>
      <c r="G552" s="25"/>
      <c r="H552" s="26"/>
      <c r="I552" s="25"/>
      <c r="J552" s="25"/>
      <c r="K552" s="25"/>
      <c r="L552" s="25"/>
      <c r="M552" s="25"/>
    </row>
    <row r="553" spans="1:13" x14ac:dyDescent="0.25">
      <c r="A553" s="25"/>
      <c r="B553" s="25"/>
      <c r="C553" s="25"/>
      <c r="D553" s="25"/>
      <c r="E553" s="25"/>
      <c r="F553" s="25"/>
      <c r="G553" s="25"/>
      <c r="H553" s="26"/>
      <c r="I553" s="25"/>
      <c r="J553" s="25"/>
      <c r="K553" s="25"/>
      <c r="L553" s="25"/>
      <c r="M553" s="25"/>
    </row>
    <row r="554" spans="1:13" x14ac:dyDescent="0.25">
      <c r="A554" s="25"/>
      <c r="B554" s="25"/>
      <c r="C554" s="25"/>
      <c r="D554" s="25"/>
      <c r="E554" s="25"/>
      <c r="F554" s="25"/>
      <c r="G554" s="25"/>
      <c r="H554" s="26"/>
      <c r="I554" s="25"/>
      <c r="J554" s="25"/>
      <c r="K554" s="25"/>
      <c r="L554" s="25"/>
      <c r="M554" s="25"/>
    </row>
    <row r="555" spans="1:13" x14ac:dyDescent="0.25">
      <c r="A555" s="25"/>
      <c r="B555" s="25"/>
      <c r="C555" s="25"/>
      <c r="D555" s="25"/>
      <c r="E555" s="25"/>
      <c r="F555" s="25"/>
      <c r="G555" s="25"/>
      <c r="H555" s="26"/>
      <c r="I555" s="25"/>
      <c r="J555" s="25"/>
      <c r="K555" s="25"/>
      <c r="L555" s="25"/>
      <c r="M555" s="25"/>
    </row>
    <row r="556" spans="1:13" x14ac:dyDescent="0.25">
      <c r="A556" s="25"/>
      <c r="B556" s="25"/>
      <c r="C556" s="25"/>
      <c r="D556" s="25"/>
      <c r="E556" s="25"/>
      <c r="F556" s="25"/>
      <c r="G556" s="25"/>
      <c r="H556" s="26"/>
      <c r="I556" s="25"/>
      <c r="J556" s="25"/>
      <c r="K556" s="25"/>
      <c r="L556" s="25"/>
      <c r="M556" s="25"/>
    </row>
    <row r="557" spans="1:13" x14ac:dyDescent="0.25">
      <c r="A557" s="25"/>
      <c r="B557" s="25"/>
      <c r="C557" s="25"/>
      <c r="D557" s="25"/>
      <c r="E557" s="25"/>
      <c r="F557" s="25"/>
      <c r="G557" s="25"/>
      <c r="H557" s="26"/>
      <c r="I557" s="25"/>
      <c r="J557" s="25"/>
      <c r="K557" s="25"/>
      <c r="L557" s="25"/>
      <c r="M557" s="25"/>
    </row>
    <row r="558" spans="1:13" x14ac:dyDescent="0.25">
      <c r="A558" s="25"/>
      <c r="B558" s="25"/>
      <c r="C558" s="25"/>
      <c r="D558" s="25"/>
      <c r="E558" s="25"/>
      <c r="F558" s="25"/>
      <c r="G558" s="25"/>
      <c r="H558" s="26"/>
      <c r="I558" s="25"/>
      <c r="J558" s="25"/>
      <c r="K558" s="25"/>
      <c r="L558" s="25"/>
      <c r="M558" s="25"/>
    </row>
    <row r="559" spans="1:13" x14ac:dyDescent="0.25">
      <c r="A559" s="25"/>
      <c r="B559" s="25"/>
      <c r="C559" s="25"/>
      <c r="D559" s="25"/>
      <c r="E559" s="25"/>
      <c r="F559" s="25"/>
      <c r="G559" s="25"/>
      <c r="H559" s="26"/>
      <c r="I559" s="25"/>
      <c r="J559" s="25"/>
      <c r="K559" s="25"/>
      <c r="L559" s="25"/>
      <c r="M559" s="25"/>
    </row>
    <row r="560" spans="1:13" x14ac:dyDescent="0.25">
      <c r="A560" s="25"/>
      <c r="B560" s="25"/>
      <c r="C560" s="25"/>
      <c r="D560" s="25"/>
      <c r="E560" s="25"/>
      <c r="F560" s="25"/>
      <c r="G560" s="25"/>
      <c r="H560" s="26"/>
      <c r="I560" s="25"/>
      <c r="J560" s="25"/>
      <c r="K560" s="25"/>
      <c r="L560" s="25"/>
      <c r="M560" s="25"/>
    </row>
    <row r="561" spans="1:13" x14ac:dyDescent="0.25">
      <c r="A561" s="25"/>
      <c r="B561" s="25"/>
      <c r="C561" s="25"/>
      <c r="D561" s="25"/>
      <c r="E561" s="25"/>
      <c r="F561" s="25"/>
      <c r="G561" s="25"/>
      <c r="H561" s="26"/>
      <c r="I561" s="25"/>
      <c r="J561" s="25"/>
      <c r="K561" s="25"/>
      <c r="L561" s="25"/>
      <c r="M561" s="25"/>
    </row>
    <row r="562" spans="1:13" x14ac:dyDescent="0.25">
      <c r="A562" s="25"/>
      <c r="B562" s="25"/>
      <c r="C562" s="25"/>
      <c r="D562" s="25"/>
      <c r="E562" s="25"/>
      <c r="F562" s="25"/>
      <c r="G562" s="25"/>
      <c r="H562" s="26"/>
      <c r="I562" s="25"/>
      <c r="J562" s="25"/>
      <c r="K562" s="25"/>
      <c r="L562" s="25"/>
      <c r="M562" s="25"/>
    </row>
    <row r="563" spans="1:13" x14ac:dyDescent="0.25">
      <c r="A563" s="25"/>
      <c r="B563" s="25"/>
      <c r="C563" s="25"/>
      <c r="D563" s="25"/>
      <c r="E563" s="25"/>
      <c r="F563" s="25"/>
      <c r="G563" s="25"/>
      <c r="H563" s="26"/>
      <c r="I563" s="25"/>
      <c r="J563" s="25"/>
      <c r="K563" s="25"/>
      <c r="L563" s="25"/>
      <c r="M563" s="25"/>
    </row>
    <row r="564" spans="1:13" x14ac:dyDescent="0.25">
      <c r="A564" s="25"/>
      <c r="B564" s="25"/>
      <c r="C564" s="25"/>
      <c r="D564" s="25"/>
      <c r="E564" s="25"/>
      <c r="F564" s="25"/>
      <c r="G564" s="25"/>
      <c r="H564" s="26"/>
      <c r="I564" s="25"/>
      <c r="J564" s="25"/>
      <c r="K564" s="25"/>
      <c r="L564" s="25"/>
      <c r="M564" s="25"/>
    </row>
    <row r="565" spans="1:13" x14ac:dyDescent="0.25">
      <c r="A565" s="25"/>
      <c r="B565" s="25"/>
      <c r="C565" s="25"/>
      <c r="D565" s="25"/>
      <c r="E565" s="25"/>
      <c r="F565" s="25"/>
      <c r="G565" s="25"/>
      <c r="H565" s="26"/>
      <c r="I565" s="25"/>
      <c r="J565" s="25"/>
      <c r="K565" s="25"/>
      <c r="L565" s="25"/>
      <c r="M565" s="25"/>
    </row>
    <row r="566" spans="1:13" x14ac:dyDescent="0.25">
      <c r="A566" s="25"/>
      <c r="B566" s="25"/>
      <c r="C566" s="25"/>
      <c r="D566" s="25"/>
      <c r="E566" s="25"/>
      <c r="F566" s="25"/>
      <c r="G566" s="25"/>
      <c r="H566" s="26"/>
      <c r="I566" s="25"/>
      <c r="J566" s="25"/>
      <c r="K566" s="25"/>
      <c r="L566" s="25"/>
      <c r="M566" s="25"/>
    </row>
    <row r="567" spans="1:13" x14ac:dyDescent="0.25">
      <c r="A567" s="25"/>
      <c r="B567" s="25"/>
      <c r="C567" s="25"/>
      <c r="D567" s="25"/>
      <c r="E567" s="25"/>
      <c r="F567" s="25"/>
      <c r="G567" s="25"/>
      <c r="H567" s="26"/>
      <c r="I567" s="25"/>
      <c r="J567" s="25"/>
      <c r="K567" s="25"/>
      <c r="L567" s="25"/>
      <c r="M567" s="25"/>
    </row>
    <row r="568" spans="1:13" x14ac:dyDescent="0.25">
      <c r="A568" s="25"/>
      <c r="B568" s="25"/>
      <c r="C568" s="25"/>
      <c r="D568" s="25"/>
      <c r="E568" s="25"/>
      <c r="F568" s="25"/>
      <c r="G568" s="25"/>
      <c r="H568" s="26"/>
      <c r="I568" s="25"/>
      <c r="J568" s="25"/>
      <c r="K568" s="25"/>
      <c r="L568" s="25"/>
      <c r="M568" s="25"/>
    </row>
    <row r="569" spans="1:13" x14ac:dyDescent="0.25">
      <c r="A569" s="25"/>
      <c r="B569" s="25"/>
      <c r="C569" s="25"/>
      <c r="D569" s="25"/>
      <c r="E569" s="25"/>
      <c r="F569" s="25"/>
      <c r="G569" s="25"/>
      <c r="H569" s="26"/>
      <c r="I569" s="25"/>
      <c r="J569" s="25"/>
      <c r="K569" s="25"/>
      <c r="L569" s="25"/>
      <c r="M569" s="25"/>
    </row>
    <row r="570" spans="1:13" x14ac:dyDescent="0.25">
      <c r="A570" s="25"/>
      <c r="B570" s="25"/>
      <c r="C570" s="25"/>
      <c r="D570" s="25"/>
      <c r="E570" s="25"/>
      <c r="F570" s="25"/>
      <c r="G570" s="25"/>
      <c r="H570" s="26"/>
      <c r="I570" s="25"/>
      <c r="J570" s="25"/>
      <c r="K570" s="25"/>
      <c r="L570" s="25"/>
      <c r="M570" s="25"/>
    </row>
    <row r="571" spans="1:13" x14ac:dyDescent="0.25">
      <c r="A571" s="25"/>
      <c r="B571" s="25"/>
      <c r="C571" s="25"/>
      <c r="D571" s="25"/>
      <c r="E571" s="25"/>
      <c r="F571" s="25"/>
      <c r="G571" s="25"/>
      <c r="H571" s="26"/>
      <c r="I571" s="25"/>
      <c r="J571" s="25"/>
      <c r="K571" s="25"/>
      <c r="L571" s="25"/>
      <c r="M571" s="25"/>
    </row>
    <row r="572" spans="1:13" x14ac:dyDescent="0.25">
      <c r="A572" s="25"/>
      <c r="B572" s="25"/>
      <c r="C572" s="25"/>
      <c r="D572" s="25"/>
      <c r="E572" s="25"/>
      <c r="F572" s="25"/>
      <c r="G572" s="25"/>
      <c r="H572" s="26"/>
      <c r="I572" s="25"/>
      <c r="J572" s="25"/>
      <c r="K572" s="25"/>
      <c r="L572" s="25"/>
      <c r="M572" s="25"/>
    </row>
    <row r="573" spans="1:13" x14ac:dyDescent="0.25">
      <c r="A573" s="25"/>
      <c r="B573" s="25"/>
      <c r="C573" s="25"/>
      <c r="D573" s="25"/>
      <c r="E573" s="25"/>
      <c r="F573" s="25"/>
      <c r="G573" s="25"/>
      <c r="H573" s="26"/>
      <c r="I573" s="25"/>
      <c r="J573" s="25"/>
      <c r="K573" s="25"/>
      <c r="L573" s="25"/>
      <c r="M573" s="25"/>
    </row>
    <row r="574" spans="1:13" x14ac:dyDescent="0.25">
      <c r="A574" s="25"/>
      <c r="B574" s="25"/>
      <c r="C574" s="25"/>
      <c r="D574" s="25"/>
      <c r="E574" s="25"/>
      <c r="F574" s="25"/>
      <c r="G574" s="25"/>
      <c r="H574" s="26"/>
      <c r="I574" s="25"/>
      <c r="J574" s="25"/>
      <c r="K574" s="25"/>
      <c r="L574" s="25"/>
      <c r="M574" s="25"/>
    </row>
    <row r="575" spans="1:13" x14ac:dyDescent="0.25">
      <c r="A575" s="25"/>
      <c r="B575" s="25"/>
      <c r="C575" s="25"/>
      <c r="D575" s="25"/>
      <c r="E575" s="25"/>
      <c r="F575" s="25"/>
      <c r="G575" s="25"/>
      <c r="H575" s="26"/>
      <c r="I575" s="25"/>
      <c r="J575" s="25"/>
      <c r="K575" s="25"/>
      <c r="L575" s="25"/>
      <c r="M575" s="25"/>
    </row>
    <row r="576" spans="1:13" x14ac:dyDescent="0.25">
      <c r="A576" s="25"/>
      <c r="B576" s="25"/>
      <c r="C576" s="25"/>
      <c r="D576" s="25"/>
      <c r="E576" s="25"/>
      <c r="F576" s="25"/>
      <c r="G576" s="25"/>
      <c r="H576" s="26"/>
      <c r="I576" s="25"/>
      <c r="J576" s="25"/>
      <c r="K576" s="25"/>
      <c r="L576" s="25"/>
      <c r="M576" s="25"/>
    </row>
    <row r="577" spans="1:13" x14ac:dyDescent="0.25">
      <c r="A577" s="25"/>
      <c r="B577" s="25"/>
      <c r="C577" s="25"/>
      <c r="D577" s="25"/>
      <c r="E577" s="25"/>
      <c r="F577" s="25"/>
      <c r="G577" s="25"/>
      <c r="H577" s="26"/>
      <c r="I577" s="25"/>
      <c r="J577" s="25"/>
      <c r="K577" s="25"/>
      <c r="L577" s="25"/>
      <c r="M577" s="25"/>
    </row>
    <row r="578" spans="1:13" x14ac:dyDescent="0.25">
      <c r="A578" s="25"/>
      <c r="B578" s="25"/>
      <c r="C578" s="25"/>
      <c r="D578" s="25"/>
      <c r="E578" s="25"/>
      <c r="F578" s="25"/>
      <c r="G578" s="25"/>
      <c r="H578" s="26"/>
      <c r="I578" s="25"/>
      <c r="J578" s="25"/>
      <c r="K578" s="25"/>
      <c r="L578" s="25"/>
      <c r="M578" s="25"/>
    </row>
    <row r="579" spans="1:13" x14ac:dyDescent="0.25">
      <c r="A579" s="25"/>
      <c r="B579" s="25"/>
      <c r="C579" s="25"/>
      <c r="D579" s="25"/>
      <c r="E579" s="25"/>
      <c r="F579" s="25"/>
      <c r="G579" s="25"/>
      <c r="H579" s="26"/>
      <c r="I579" s="25"/>
      <c r="J579" s="25"/>
      <c r="K579" s="25"/>
      <c r="L579" s="25"/>
      <c r="M579" s="25"/>
    </row>
    <row r="580" spans="1:13" x14ac:dyDescent="0.25">
      <c r="A580" s="25"/>
      <c r="B580" s="25"/>
      <c r="C580" s="25"/>
      <c r="D580" s="25"/>
      <c r="E580" s="25"/>
      <c r="F580" s="25"/>
      <c r="G580" s="25"/>
      <c r="H580" s="26"/>
      <c r="I580" s="25"/>
      <c r="J580" s="25"/>
      <c r="K580" s="25"/>
      <c r="L580" s="25"/>
      <c r="M580" s="25"/>
    </row>
    <row r="581" spans="1:13" x14ac:dyDescent="0.25">
      <c r="A581" s="25"/>
      <c r="B581" s="25"/>
      <c r="C581" s="25"/>
      <c r="D581" s="25"/>
      <c r="E581" s="25"/>
      <c r="F581" s="25"/>
      <c r="G581" s="25"/>
      <c r="H581" s="26"/>
      <c r="I581" s="25"/>
      <c r="J581" s="25"/>
      <c r="K581" s="25"/>
      <c r="L581" s="25"/>
      <c r="M581" s="25"/>
    </row>
    <row r="582" spans="1:13" x14ac:dyDescent="0.25">
      <c r="A582" s="25"/>
      <c r="B582" s="25"/>
      <c r="C582" s="25"/>
      <c r="D582" s="25"/>
      <c r="E582" s="25"/>
      <c r="F582" s="25"/>
      <c r="G582" s="25"/>
      <c r="H582" s="26"/>
      <c r="I582" s="25"/>
      <c r="J582" s="25"/>
      <c r="K582" s="25"/>
      <c r="L582" s="25"/>
      <c r="M582" s="25"/>
    </row>
    <row r="583" spans="1:13" x14ac:dyDescent="0.25">
      <c r="A583" s="25"/>
      <c r="B583" s="25"/>
      <c r="C583" s="25"/>
      <c r="D583" s="25"/>
      <c r="E583" s="25"/>
      <c r="F583" s="25"/>
      <c r="G583" s="25"/>
      <c r="H583" s="26"/>
      <c r="I583" s="25"/>
      <c r="J583" s="25"/>
      <c r="K583" s="25"/>
      <c r="L583" s="25"/>
      <c r="M583" s="25"/>
    </row>
    <row r="584" spans="1:13" x14ac:dyDescent="0.25">
      <c r="A584" s="25"/>
      <c r="B584" s="25"/>
      <c r="C584" s="25"/>
      <c r="D584" s="25"/>
      <c r="E584" s="25"/>
      <c r="F584" s="25"/>
      <c r="G584" s="25"/>
      <c r="H584" s="26"/>
      <c r="I584" s="25"/>
      <c r="J584" s="25"/>
      <c r="K584" s="25"/>
      <c r="L584" s="25"/>
      <c r="M584" s="25"/>
    </row>
    <row r="585" spans="1:13" x14ac:dyDescent="0.25">
      <c r="A585" s="25"/>
      <c r="B585" s="25"/>
      <c r="C585" s="25"/>
      <c r="D585" s="25"/>
      <c r="E585" s="25"/>
      <c r="F585" s="25"/>
      <c r="G585" s="25"/>
      <c r="H585" s="26"/>
      <c r="I585" s="25"/>
      <c r="J585" s="25"/>
      <c r="K585" s="25"/>
      <c r="L585" s="25"/>
      <c r="M585" s="25"/>
    </row>
    <row r="586" spans="1:13" x14ac:dyDescent="0.25">
      <c r="A586" s="25"/>
      <c r="B586" s="25"/>
      <c r="C586" s="25"/>
      <c r="D586" s="25"/>
      <c r="E586" s="25"/>
      <c r="F586" s="25"/>
      <c r="G586" s="25"/>
      <c r="H586" s="26"/>
      <c r="I586" s="25"/>
      <c r="J586" s="25"/>
      <c r="K586" s="25"/>
      <c r="L586" s="25"/>
      <c r="M586" s="25"/>
    </row>
    <row r="587" spans="1:13" x14ac:dyDescent="0.25">
      <c r="A587" s="25"/>
      <c r="B587" s="25"/>
      <c r="C587" s="25"/>
      <c r="D587" s="25"/>
      <c r="E587" s="25"/>
      <c r="F587" s="25"/>
      <c r="G587" s="25"/>
      <c r="H587" s="26"/>
      <c r="I587" s="25"/>
      <c r="J587" s="25"/>
      <c r="K587" s="25"/>
      <c r="L587" s="25"/>
      <c r="M587" s="25"/>
    </row>
    <row r="588" spans="1:13" x14ac:dyDescent="0.25">
      <c r="A588" s="25"/>
      <c r="B588" s="25"/>
      <c r="C588" s="25"/>
      <c r="D588" s="25"/>
      <c r="E588" s="25"/>
      <c r="F588" s="25"/>
      <c r="G588" s="25"/>
      <c r="H588" s="26"/>
      <c r="I588" s="25"/>
      <c r="J588" s="25"/>
      <c r="K588" s="25"/>
      <c r="L588" s="25"/>
      <c r="M588" s="25"/>
    </row>
    <row r="589" spans="1:13" x14ac:dyDescent="0.25">
      <c r="A589" s="25"/>
      <c r="B589" s="25"/>
      <c r="C589" s="25"/>
      <c r="D589" s="25"/>
      <c r="E589" s="25"/>
      <c r="F589" s="25"/>
      <c r="G589" s="25"/>
      <c r="H589" s="26"/>
      <c r="I589" s="25"/>
      <c r="J589" s="25"/>
      <c r="K589" s="25"/>
      <c r="L589" s="25"/>
      <c r="M589" s="25"/>
    </row>
    <row r="590" spans="1:13" x14ac:dyDescent="0.25">
      <c r="A590" s="25"/>
      <c r="B590" s="25"/>
      <c r="C590" s="25"/>
      <c r="D590" s="25"/>
      <c r="E590" s="25"/>
      <c r="F590" s="25"/>
      <c r="G590" s="25"/>
      <c r="H590" s="26"/>
      <c r="I590" s="25"/>
      <c r="J590" s="25"/>
      <c r="K590" s="25"/>
      <c r="L590" s="25"/>
      <c r="M590" s="25"/>
    </row>
    <row r="591" spans="1:13" x14ac:dyDescent="0.25">
      <c r="A591" s="25"/>
      <c r="B591" s="25"/>
      <c r="C591" s="25"/>
      <c r="D591" s="25"/>
      <c r="E591" s="25"/>
      <c r="F591" s="25"/>
      <c r="G591" s="25"/>
      <c r="H591" s="26"/>
      <c r="I591" s="25"/>
      <c r="J591" s="25"/>
      <c r="K591" s="25"/>
      <c r="L591" s="25"/>
      <c r="M591" s="25"/>
    </row>
    <row r="592" spans="1:13" x14ac:dyDescent="0.25">
      <c r="A592" s="25"/>
      <c r="B592" s="25"/>
      <c r="C592" s="25"/>
      <c r="D592" s="25"/>
      <c r="E592" s="25"/>
      <c r="F592" s="25"/>
      <c r="G592" s="25"/>
      <c r="H592" s="26"/>
      <c r="I592" s="25"/>
      <c r="J592" s="25"/>
      <c r="K592" s="25"/>
      <c r="L592" s="25"/>
      <c r="M592" s="25"/>
    </row>
    <row r="593" spans="1:13" x14ac:dyDescent="0.25">
      <c r="A593" s="25"/>
      <c r="B593" s="25"/>
      <c r="C593" s="25"/>
      <c r="D593" s="25"/>
      <c r="E593" s="25"/>
      <c r="F593" s="25"/>
      <c r="G593" s="25"/>
      <c r="H593" s="26"/>
      <c r="I593" s="25"/>
      <c r="J593" s="25"/>
      <c r="K593" s="25"/>
      <c r="L593" s="25"/>
      <c r="M593" s="25"/>
    </row>
    <row r="594" spans="1:13" x14ac:dyDescent="0.25">
      <c r="A594" s="25"/>
      <c r="B594" s="25"/>
      <c r="C594" s="25"/>
      <c r="D594" s="25"/>
      <c r="E594" s="25"/>
      <c r="F594" s="25"/>
      <c r="G594" s="25"/>
      <c r="H594" s="26"/>
      <c r="I594" s="25"/>
      <c r="J594" s="25"/>
      <c r="K594" s="25"/>
      <c r="L594" s="25"/>
      <c r="M594" s="25"/>
    </row>
    <row r="595" spans="1:13" x14ac:dyDescent="0.25">
      <c r="A595" s="25"/>
      <c r="B595" s="25"/>
      <c r="C595" s="25"/>
      <c r="D595" s="25"/>
      <c r="E595" s="25"/>
      <c r="F595" s="25"/>
      <c r="G595" s="25"/>
      <c r="H595" s="26"/>
      <c r="I595" s="25"/>
      <c r="J595" s="25"/>
      <c r="K595" s="25"/>
      <c r="L595" s="25"/>
      <c r="M595" s="25"/>
    </row>
    <row r="596" spans="1:13" x14ac:dyDescent="0.25">
      <c r="A596" s="25"/>
      <c r="B596" s="25"/>
      <c r="C596" s="25"/>
      <c r="D596" s="25"/>
      <c r="E596" s="25"/>
      <c r="F596" s="25"/>
      <c r="G596" s="25"/>
      <c r="H596" s="26"/>
      <c r="I596" s="25"/>
      <c r="J596" s="25"/>
      <c r="K596" s="25"/>
      <c r="L596" s="25"/>
      <c r="M596" s="25"/>
    </row>
    <row r="597" spans="1:13" x14ac:dyDescent="0.25">
      <c r="A597" s="25"/>
      <c r="B597" s="25"/>
      <c r="C597" s="25"/>
      <c r="D597" s="25"/>
      <c r="E597" s="25"/>
      <c r="F597" s="25"/>
      <c r="G597" s="25"/>
      <c r="H597" s="26"/>
      <c r="I597" s="25"/>
      <c r="J597" s="25"/>
      <c r="K597" s="25"/>
      <c r="L597" s="25"/>
      <c r="M597" s="25"/>
    </row>
    <row r="598" spans="1:13" x14ac:dyDescent="0.25">
      <c r="A598" s="25"/>
      <c r="B598" s="25"/>
      <c r="C598" s="25"/>
      <c r="D598" s="25"/>
      <c r="E598" s="25"/>
      <c r="F598" s="25"/>
      <c r="G598" s="25"/>
      <c r="H598" s="26"/>
      <c r="I598" s="25"/>
      <c r="J598" s="25"/>
      <c r="K598" s="25"/>
      <c r="L598" s="25"/>
      <c r="M598" s="25"/>
    </row>
    <row r="599" spans="1:13" x14ac:dyDescent="0.25">
      <c r="A599" s="25"/>
      <c r="B599" s="25"/>
      <c r="C599" s="25"/>
      <c r="D599" s="25"/>
      <c r="E599" s="25"/>
      <c r="F599" s="25"/>
      <c r="G599" s="25"/>
      <c r="H599" s="26"/>
      <c r="I599" s="25"/>
      <c r="J599" s="25"/>
      <c r="K599" s="25"/>
      <c r="L599" s="25"/>
      <c r="M599" s="25"/>
    </row>
    <row r="600" spans="1:13" x14ac:dyDescent="0.25">
      <c r="A600" s="25"/>
      <c r="B600" s="25"/>
      <c r="C600" s="25"/>
      <c r="D600" s="25"/>
      <c r="E600" s="25"/>
      <c r="F600" s="25"/>
      <c r="G600" s="25"/>
      <c r="H600" s="26"/>
      <c r="I600" s="25"/>
      <c r="J600" s="25"/>
      <c r="K600" s="25"/>
      <c r="L600" s="25"/>
      <c r="M600" s="25"/>
    </row>
    <row r="601" spans="1:13" x14ac:dyDescent="0.25">
      <c r="A601" s="25"/>
      <c r="B601" s="25"/>
      <c r="C601" s="25"/>
      <c r="D601" s="25"/>
      <c r="E601" s="25"/>
      <c r="F601" s="25"/>
      <c r="G601" s="25"/>
      <c r="H601" s="26"/>
      <c r="I601" s="25"/>
      <c r="J601" s="25"/>
      <c r="K601" s="25"/>
      <c r="L601" s="25"/>
      <c r="M601" s="25"/>
    </row>
    <row r="602" spans="1:13" x14ac:dyDescent="0.25">
      <c r="A602" s="25"/>
      <c r="B602" s="25"/>
      <c r="C602" s="25"/>
      <c r="D602" s="25"/>
      <c r="E602" s="25"/>
      <c r="F602" s="25"/>
      <c r="G602" s="25"/>
      <c r="H602" s="26"/>
      <c r="I602" s="25"/>
      <c r="J602" s="25"/>
      <c r="K602" s="25"/>
      <c r="L602" s="25"/>
      <c r="M602" s="25"/>
    </row>
    <row r="603" spans="1:13" x14ac:dyDescent="0.25">
      <c r="A603" s="25"/>
      <c r="B603" s="25"/>
      <c r="C603" s="25"/>
      <c r="D603" s="25"/>
      <c r="E603" s="25"/>
      <c r="F603" s="25"/>
      <c r="G603" s="25"/>
      <c r="H603" s="26"/>
      <c r="I603" s="25"/>
      <c r="J603" s="25"/>
      <c r="K603" s="25"/>
      <c r="L603" s="25"/>
      <c r="M603" s="25"/>
    </row>
    <row r="604" spans="1:13" x14ac:dyDescent="0.25">
      <c r="A604" s="25"/>
      <c r="B604" s="25"/>
      <c r="C604" s="25"/>
      <c r="D604" s="25"/>
      <c r="E604" s="25"/>
      <c r="F604" s="25"/>
      <c r="G604" s="25"/>
      <c r="H604" s="26"/>
      <c r="I604" s="25"/>
      <c r="J604" s="25"/>
      <c r="K604" s="25"/>
      <c r="L604" s="25"/>
      <c r="M604" s="25"/>
    </row>
    <row r="605" spans="1:13" x14ac:dyDescent="0.25">
      <c r="A605" s="25"/>
      <c r="B605" s="25"/>
      <c r="C605" s="25"/>
      <c r="D605" s="25"/>
      <c r="E605" s="25"/>
      <c r="F605" s="25"/>
      <c r="G605" s="25"/>
      <c r="H605" s="26"/>
      <c r="I605" s="25"/>
      <c r="J605" s="25"/>
      <c r="K605" s="25"/>
      <c r="L605" s="25"/>
      <c r="M605" s="25"/>
    </row>
    <row r="606" spans="1:13" x14ac:dyDescent="0.25">
      <c r="A606" s="25"/>
      <c r="B606" s="25"/>
      <c r="C606" s="25"/>
      <c r="D606" s="25"/>
      <c r="E606" s="25"/>
      <c r="F606" s="25"/>
      <c r="G606" s="25"/>
      <c r="H606" s="26"/>
      <c r="I606" s="25"/>
      <c r="J606" s="25"/>
      <c r="K606" s="25"/>
      <c r="L606" s="25"/>
      <c r="M606" s="25"/>
    </row>
    <row r="607" spans="1:13" x14ac:dyDescent="0.25">
      <c r="A607" s="25"/>
      <c r="B607" s="25"/>
      <c r="C607" s="25"/>
      <c r="D607" s="25"/>
      <c r="E607" s="25"/>
      <c r="F607" s="25"/>
      <c r="G607" s="25"/>
      <c r="H607" s="26"/>
      <c r="I607" s="25"/>
      <c r="J607" s="25"/>
      <c r="K607" s="25"/>
      <c r="L607" s="25"/>
      <c r="M607" s="25"/>
    </row>
    <row r="608" spans="1:13" x14ac:dyDescent="0.25">
      <c r="A608" s="25"/>
      <c r="B608" s="25"/>
      <c r="C608" s="25"/>
      <c r="D608" s="25"/>
      <c r="E608" s="25"/>
      <c r="F608" s="25"/>
      <c r="G608" s="25"/>
      <c r="H608" s="26"/>
      <c r="I608" s="25"/>
      <c r="J608" s="25"/>
      <c r="K608" s="25"/>
      <c r="L608" s="25"/>
      <c r="M608" s="25"/>
    </row>
    <row r="609" spans="1:13" x14ac:dyDescent="0.25">
      <c r="A609" s="25"/>
      <c r="B609" s="25"/>
      <c r="C609" s="25"/>
      <c r="D609" s="25"/>
      <c r="E609" s="25"/>
      <c r="F609" s="25"/>
      <c r="G609" s="25"/>
      <c r="H609" s="26"/>
      <c r="I609" s="25"/>
      <c r="J609" s="25"/>
      <c r="K609" s="25"/>
      <c r="L609" s="25"/>
      <c r="M609" s="25"/>
    </row>
    <row r="610" spans="1:13" x14ac:dyDescent="0.25">
      <c r="A610" s="25"/>
      <c r="B610" s="25"/>
      <c r="C610" s="25"/>
      <c r="D610" s="25"/>
      <c r="E610" s="25"/>
      <c r="F610" s="25"/>
      <c r="G610" s="25"/>
      <c r="H610" s="26"/>
      <c r="I610" s="25"/>
      <c r="J610" s="25"/>
      <c r="K610" s="25"/>
      <c r="L610" s="25"/>
      <c r="M610" s="25"/>
    </row>
    <row r="611" spans="1:13" x14ac:dyDescent="0.25">
      <c r="A611" s="25"/>
      <c r="B611" s="25"/>
      <c r="C611" s="25"/>
      <c r="D611" s="25"/>
      <c r="E611" s="25"/>
      <c r="F611" s="25"/>
      <c r="G611" s="25"/>
      <c r="H611" s="26"/>
      <c r="I611" s="25"/>
      <c r="J611" s="25"/>
      <c r="K611" s="25"/>
      <c r="L611" s="25"/>
      <c r="M611" s="25"/>
    </row>
    <row r="612" spans="1:13" x14ac:dyDescent="0.25">
      <c r="A612" s="25"/>
      <c r="B612" s="25"/>
      <c r="C612" s="25"/>
      <c r="D612" s="25"/>
      <c r="E612" s="25"/>
      <c r="F612" s="25"/>
      <c r="G612" s="25"/>
      <c r="H612" s="26"/>
      <c r="I612" s="25"/>
      <c r="J612" s="25"/>
      <c r="K612" s="25"/>
      <c r="L612" s="25"/>
      <c r="M612" s="25"/>
    </row>
    <row r="613" spans="1:13" x14ac:dyDescent="0.25">
      <c r="A613" s="25"/>
      <c r="B613" s="25"/>
      <c r="C613" s="25"/>
      <c r="D613" s="25"/>
      <c r="E613" s="25"/>
      <c r="F613" s="25"/>
      <c r="G613" s="25"/>
      <c r="H613" s="26"/>
      <c r="I613" s="25"/>
      <c r="J613" s="25"/>
      <c r="K613" s="25"/>
      <c r="L613" s="25"/>
      <c r="M613" s="25"/>
    </row>
    <row r="614" spans="1:13" x14ac:dyDescent="0.25">
      <c r="A614" s="25"/>
      <c r="B614" s="25"/>
      <c r="C614" s="25"/>
      <c r="D614" s="25"/>
      <c r="E614" s="25"/>
      <c r="F614" s="25"/>
      <c r="G614" s="25"/>
      <c r="H614" s="26"/>
      <c r="I614" s="25"/>
      <c r="J614" s="25"/>
      <c r="K614" s="25"/>
      <c r="L614" s="25"/>
      <c r="M614" s="25"/>
    </row>
    <row r="615" spans="1:13" x14ac:dyDescent="0.25">
      <c r="A615" s="25"/>
      <c r="B615" s="25"/>
      <c r="C615" s="25"/>
      <c r="D615" s="25"/>
      <c r="E615" s="25"/>
      <c r="F615" s="25"/>
      <c r="G615" s="25"/>
      <c r="H615" s="26"/>
      <c r="I615" s="25"/>
      <c r="J615" s="25"/>
      <c r="K615" s="25"/>
      <c r="L615" s="25"/>
      <c r="M615" s="25"/>
    </row>
    <row r="616" spans="1:13" x14ac:dyDescent="0.25">
      <c r="A616" s="25"/>
      <c r="B616" s="25"/>
      <c r="C616" s="25"/>
      <c r="D616" s="25"/>
      <c r="E616" s="25"/>
      <c r="F616" s="25"/>
      <c r="G616" s="25"/>
      <c r="H616" s="26"/>
      <c r="I616" s="25"/>
      <c r="J616" s="25"/>
      <c r="K616" s="25"/>
      <c r="L616" s="25"/>
      <c r="M616" s="25"/>
    </row>
    <row r="617" spans="1:13" x14ac:dyDescent="0.25">
      <c r="A617" s="25"/>
      <c r="B617" s="25"/>
      <c r="C617" s="25"/>
      <c r="D617" s="25"/>
      <c r="E617" s="25"/>
      <c r="F617" s="25"/>
      <c r="G617" s="25"/>
      <c r="H617" s="26"/>
      <c r="I617" s="25"/>
      <c r="J617" s="25"/>
      <c r="K617" s="25"/>
      <c r="L617" s="25"/>
      <c r="M617" s="25"/>
    </row>
    <row r="618" spans="1:13" x14ac:dyDescent="0.25">
      <c r="A618" s="25"/>
      <c r="B618" s="25"/>
      <c r="C618" s="25"/>
      <c r="D618" s="25"/>
      <c r="E618" s="25"/>
      <c r="F618" s="25"/>
      <c r="G618" s="25"/>
      <c r="H618" s="26"/>
      <c r="I618" s="25"/>
      <c r="J618" s="25"/>
      <c r="K618" s="25"/>
      <c r="L618" s="25"/>
      <c r="M618" s="25"/>
    </row>
    <row r="619" spans="1:13" x14ac:dyDescent="0.25">
      <c r="A619" s="25"/>
      <c r="B619" s="25"/>
      <c r="C619" s="25"/>
      <c r="D619" s="25"/>
      <c r="E619" s="25"/>
      <c r="F619" s="25"/>
      <c r="G619" s="25"/>
      <c r="H619" s="26"/>
      <c r="I619" s="25"/>
      <c r="J619" s="25"/>
      <c r="K619" s="25"/>
      <c r="L619" s="25"/>
      <c r="M619" s="25"/>
    </row>
    <row r="620" spans="1:13" x14ac:dyDescent="0.25">
      <c r="A620" s="25"/>
      <c r="B620" s="25"/>
      <c r="C620" s="25"/>
      <c r="D620" s="25"/>
      <c r="E620" s="25"/>
      <c r="F620" s="25"/>
      <c r="G620" s="25"/>
      <c r="H620" s="26"/>
      <c r="I620" s="25"/>
      <c r="J620" s="25"/>
      <c r="K620" s="25"/>
      <c r="L620" s="25"/>
      <c r="M620" s="25"/>
    </row>
    <row r="621" spans="1:13" x14ac:dyDescent="0.25">
      <c r="A621" s="25"/>
      <c r="B621" s="25"/>
      <c r="C621" s="25"/>
      <c r="D621" s="25"/>
      <c r="E621" s="25"/>
      <c r="F621" s="25"/>
      <c r="G621" s="25"/>
      <c r="H621" s="26"/>
      <c r="I621" s="25"/>
      <c r="J621" s="25"/>
      <c r="K621" s="25"/>
      <c r="L621" s="25"/>
      <c r="M621" s="25"/>
    </row>
    <row r="622" spans="1:13" x14ac:dyDescent="0.25">
      <c r="A622" s="25"/>
      <c r="B622" s="25"/>
      <c r="C622" s="25"/>
      <c r="D622" s="25"/>
      <c r="E622" s="25"/>
      <c r="F622" s="25"/>
      <c r="G622" s="25"/>
      <c r="H622" s="26"/>
      <c r="I622" s="25"/>
      <c r="J622" s="25"/>
      <c r="K622" s="25"/>
      <c r="L622" s="25"/>
      <c r="M622" s="25"/>
    </row>
    <row r="623" spans="1:13" x14ac:dyDescent="0.25">
      <c r="A623" s="25"/>
      <c r="B623" s="25"/>
      <c r="C623" s="25"/>
      <c r="D623" s="25"/>
      <c r="E623" s="25"/>
      <c r="F623" s="25"/>
      <c r="G623" s="25"/>
      <c r="H623" s="26"/>
      <c r="I623" s="25"/>
      <c r="J623" s="25"/>
      <c r="K623" s="25"/>
      <c r="L623" s="25"/>
      <c r="M623" s="25"/>
    </row>
    <row r="624" spans="1:13" x14ac:dyDescent="0.25">
      <c r="A624" s="25"/>
      <c r="B624" s="25"/>
      <c r="C624" s="25"/>
      <c r="D624" s="25"/>
      <c r="E624" s="25"/>
      <c r="F624" s="25"/>
      <c r="G624" s="25"/>
      <c r="H624" s="26"/>
      <c r="I624" s="25"/>
      <c r="J624" s="25"/>
      <c r="K624" s="25"/>
      <c r="L624" s="25"/>
      <c r="M624" s="25"/>
    </row>
    <row r="625" spans="1:13" x14ac:dyDescent="0.25">
      <c r="A625" s="25"/>
      <c r="B625" s="25"/>
      <c r="C625" s="25"/>
      <c r="D625" s="25"/>
      <c r="E625" s="25"/>
      <c r="F625" s="25"/>
      <c r="G625" s="25"/>
      <c r="H625" s="26"/>
      <c r="I625" s="25"/>
      <c r="J625" s="25"/>
      <c r="K625" s="25"/>
      <c r="L625" s="25"/>
      <c r="M625" s="25"/>
    </row>
    <row r="626" spans="1:13" x14ac:dyDescent="0.25">
      <c r="A626" s="25"/>
      <c r="B626" s="25"/>
      <c r="C626" s="25"/>
      <c r="D626" s="25"/>
      <c r="E626" s="25"/>
      <c r="F626" s="25"/>
      <c r="G626" s="25"/>
      <c r="H626" s="26"/>
      <c r="I626" s="25"/>
      <c r="J626" s="25"/>
      <c r="K626" s="25"/>
      <c r="L626" s="25"/>
      <c r="M626" s="25"/>
    </row>
    <row r="627" spans="1:13" x14ac:dyDescent="0.25">
      <c r="A627" s="25"/>
      <c r="B627" s="25"/>
      <c r="C627" s="25"/>
      <c r="D627" s="25"/>
      <c r="E627" s="25"/>
      <c r="F627" s="25"/>
      <c r="G627" s="25"/>
      <c r="H627" s="26"/>
      <c r="I627" s="25"/>
      <c r="J627" s="25"/>
      <c r="K627" s="25"/>
      <c r="L627" s="25"/>
      <c r="M627" s="25"/>
    </row>
    <row r="628" spans="1:13" x14ac:dyDescent="0.25">
      <c r="A628" s="25"/>
      <c r="B628" s="25"/>
      <c r="C628" s="25"/>
      <c r="D628" s="25"/>
      <c r="E628" s="25"/>
      <c r="F628" s="25"/>
      <c r="G628" s="25"/>
      <c r="H628" s="26"/>
      <c r="I628" s="25"/>
      <c r="J628" s="25"/>
      <c r="K628" s="25"/>
      <c r="L628" s="25"/>
      <c r="M628" s="25"/>
    </row>
    <row r="629" spans="1:13" x14ac:dyDescent="0.25">
      <c r="A629" s="25"/>
      <c r="B629" s="25"/>
      <c r="C629" s="25"/>
      <c r="D629" s="25"/>
      <c r="E629" s="25"/>
      <c r="F629" s="25"/>
      <c r="G629" s="25"/>
      <c r="H629" s="26"/>
      <c r="I629" s="25"/>
      <c r="J629" s="25"/>
      <c r="K629" s="25"/>
      <c r="L629" s="25"/>
      <c r="M629" s="25"/>
    </row>
    <row r="630" spans="1:13" x14ac:dyDescent="0.25">
      <c r="A630" s="25"/>
      <c r="B630" s="25"/>
      <c r="C630" s="25"/>
      <c r="D630" s="25"/>
      <c r="E630" s="25"/>
      <c r="F630" s="25"/>
      <c r="G630" s="25"/>
      <c r="H630" s="26"/>
      <c r="I630" s="25"/>
      <c r="J630" s="25"/>
      <c r="K630" s="25"/>
      <c r="L630" s="25"/>
      <c r="M630" s="25"/>
    </row>
    <row r="631" spans="1:13" x14ac:dyDescent="0.25">
      <c r="A631" s="25"/>
      <c r="B631" s="25"/>
      <c r="C631" s="25"/>
      <c r="D631" s="25"/>
      <c r="E631" s="25"/>
      <c r="F631" s="25"/>
      <c r="G631" s="25"/>
      <c r="H631" s="26"/>
      <c r="I631" s="25"/>
      <c r="J631" s="25"/>
      <c r="K631" s="25"/>
      <c r="L631" s="25"/>
      <c r="M631" s="25"/>
    </row>
    <row r="632" spans="1:13" x14ac:dyDescent="0.25">
      <c r="A632" s="25"/>
      <c r="B632" s="25"/>
      <c r="C632" s="25"/>
      <c r="D632" s="25"/>
      <c r="E632" s="25"/>
      <c r="F632" s="25"/>
      <c r="G632" s="25"/>
      <c r="H632" s="26"/>
      <c r="I632" s="25"/>
      <c r="J632" s="25"/>
      <c r="K632" s="25"/>
      <c r="L632" s="25"/>
      <c r="M632" s="25"/>
    </row>
    <row r="633" spans="1:13" x14ac:dyDescent="0.25">
      <c r="A633" s="25"/>
      <c r="B633" s="25"/>
      <c r="C633" s="25"/>
      <c r="D633" s="25"/>
      <c r="E633" s="25"/>
      <c r="F633" s="25"/>
      <c r="G633" s="25"/>
      <c r="H633" s="26"/>
      <c r="I633" s="25"/>
      <c r="J633" s="25"/>
      <c r="K633" s="25"/>
      <c r="L633" s="25"/>
      <c r="M633" s="25"/>
    </row>
    <row r="634" spans="1:13" x14ac:dyDescent="0.25">
      <c r="A634" s="25"/>
      <c r="B634" s="25"/>
      <c r="C634" s="25"/>
      <c r="D634" s="25"/>
      <c r="E634" s="25"/>
      <c r="F634" s="25"/>
      <c r="G634" s="25"/>
      <c r="H634" s="26"/>
      <c r="I634" s="25"/>
      <c r="J634" s="25"/>
      <c r="K634" s="25"/>
      <c r="L634" s="25"/>
      <c r="M634" s="25"/>
    </row>
    <row r="635" spans="1:13" x14ac:dyDescent="0.25">
      <c r="A635" s="25"/>
      <c r="B635" s="25"/>
      <c r="C635" s="25"/>
      <c r="D635" s="25"/>
      <c r="E635" s="25"/>
      <c r="F635" s="25"/>
      <c r="G635" s="25"/>
      <c r="H635" s="26"/>
      <c r="I635" s="25"/>
      <c r="J635" s="25"/>
      <c r="K635" s="25"/>
      <c r="L635" s="25"/>
      <c r="M635" s="25"/>
    </row>
    <row r="636" spans="1:13" x14ac:dyDescent="0.25">
      <c r="A636" s="25"/>
      <c r="B636" s="25"/>
      <c r="C636" s="25"/>
      <c r="D636" s="25"/>
      <c r="E636" s="25"/>
      <c r="F636" s="25"/>
      <c r="G636" s="25"/>
      <c r="H636" s="26"/>
      <c r="I636" s="25"/>
      <c r="J636" s="25"/>
      <c r="K636" s="25"/>
      <c r="L636" s="25"/>
      <c r="M636" s="25"/>
    </row>
    <row r="637" spans="1:13" x14ac:dyDescent="0.25">
      <c r="A637" s="25"/>
      <c r="B637" s="25"/>
      <c r="C637" s="25"/>
      <c r="D637" s="25"/>
      <c r="E637" s="25"/>
      <c r="F637" s="25"/>
      <c r="G637" s="25"/>
      <c r="H637" s="26"/>
      <c r="I637" s="25"/>
      <c r="J637" s="25"/>
      <c r="K637" s="25"/>
      <c r="L637" s="25"/>
      <c r="M637" s="25"/>
    </row>
    <row r="638" spans="1:13" x14ac:dyDescent="0.25">
      <c r="A638" s="25"/>
      <c r="B638" s="25"/>
      <c r="C638" s="25"/>
      <c r="D638" s="25"/>
      <c r="E638" s="25"/>
      <c r="F638" s="25"/>
      <c r="G638" s="25"/>
      <c r="H638" s="26"/>
      <c r="I638" s="25"/>
      <c r="J638" s="25"/>
      <c r="K638" s="25"/>
      <c r="L638" s="25"/>
      <c r="M638" s="25"/>
    </row>
    <row r="639" spans="1:13" x14ac:dyDescent="0.25">
      <c r="A639" s="25"/>
      <c r="B639" s="25"/>
      <c r="C639" s="25"/>
      <c r="D639" s="25"/>
      <c r="E639" s="25"/>
      <c r="F639" s="25"/>
      <c r="G639" s="25"/>
      <c r="H639" s="26"/>
      <c r="I639" s="25"/>
      <c r="J639" s="25"/>
      <c r="K639" s="25"/>
      <c r="L639" s="25"/>
      <c r="M639" s="25"/>
    </row>
    <row r="640" spans="1:13" x14ac:dyDescent="0.25">
      <c r="A640" s="25"/>
      <c r="B640" s="25"/>
      <c r="C640" s="25"/>
      <c r="D640" s="25"/>
      <c r="E640" s="25"/>
      <c r="F640" s="25"/>
      <c r="G640" s="25"/>
      <c r="H640" s="26"/>
      <c r="I640" s="25"/>
      <c r="J640" s="25"/>
      <c r="K640" s="25"/>
      <c r="L640" s="25"/>
      <c r="M640" s="25"/>
    </row>
    <row r="641" spans="1:13" x14ac:dyDescent="0.25">
      <c r="A641" s="25"/>
      <c r="B641" s="25"/>
      <c r="C641" s="25"/>
      <c r="D641" s="25"/>
      <c r="E641" s="25"/>
      <c r="F641" s="25"/>
      <c r="G641" s="25"/>
      <c r="H641" s="26"/>
      <c r="I641" s="25"/>
      <c r="J641" s="25"/>
      <c r="K641" s="25"/>
      <c r="L641" s="25"/>
      <c r="M641" s="25"/>
    </row>
    <row r="642" spans="1:13" x14ac:dyDescent="0.25">
      <c r="A642" s="25"/>
      <c r="B642" s="25"/>
      <c r="C642" s="25"/>
      <c r="D642" s="25"/>
      <c r="E642" s="25"/>
      <c r="F642" s="25"/>
      <c r="G642" s="25"/>
      <c r="H642" s="26"/>
      <c r="I642" s="25"/>
      <c r="J642" s="25"/>
      <c r="K642" s="25"/>
      <c r="L642" s="25"/>
      <c r="M642" s="25"/>
    </row>
    <row r="643" spans="1:13" x14ac:dyDescent="0.25">
      <c r="A643" s="25"/>
      <c r="B643" s="25"/>
      <c r="C643" s="25"/>
      <c r="D643" s="25"/>
      <c r="E643" s="25"/>
      <c r="F643" s="25"/>
      <c r="G643" s="25"/>
      <c r="H643" s="26"/>
      <c r="I643" s="25"/>
      <c r="J643" s="25"/>
      <c r="K643" s="25"/>
      <c r="L643" s="25"/>
      <c r="M643" s="25"/>
    </row>
    <row r="644" spans="1:13" x14ac:dyDescent="0.25">
      <c r="A644" s="25"/>
      <c r="B644" s="25"/>
      <c r="C644" s="25"/>
      <c r="D644" s="25"/>
      <c r="E644" s="25"/>
      <c r="F644" s="25"/>
      <c r="G644" s="25"/>
      <c r="H644" s="26"/>
      <c r="I644" s="25"/>
      <c r="J644" s="25"/>
      <c r="K644" s="25"/>
      <c r="L644" s="25"/>
      <c r="M644" s="25"/>
    </row>
    <row r="645" spans="1:13" x14ac:dyDescent="0.25">
      <c r="A645" s="25"/>
      <c r="B645" s="25"/>
      <c r="C645" s="25"/>
      <c r="D645" s="25"/>
      <c r="E645" s="25"/>
      <c r="F645" s="25"/>
      <c r="G645" s="25"/>
      <c r="H645" s="26"/>
      <c r="I645" s="25"/>
      <c r="J645" s="25"/>
      <c r="K645" s="25"/>
      <c r="L645" s="25"/>
      <c r="M645" s="25"/>
    </row>
    <row r="646" spans="1:13" x14ac:dyDescent="0.25">
      <c r="A646" s="25"/>
      <c r="B646" s="25"/>
      <c r="C646" s="25"/>
      <c r="D646" s="25"/>
      <c r="E646" s="25"/>
      <c r="F646" s="25"/>
      <c r="G646" s="25"/>
      <c r="H646" s="26"/>
      <c r="I646" s="25"/>
      <c r="J646" s="25"/>
      <c r="K646" s="25"/>
      <c r="L646" s="25"/>
      <c r="M646" s="25"/>
    </row>
    <row r="647" spans="1:13" x14ac:dyDescent="0.25">
      <c r="A647" s="25"/>
      <c r="B647" s="25"/>
      <c r="C647" s="25"/>
      <c r="D647" s="25"/>
      <c r="E647" s="25"/>
      <c r="F647" s="25"/>
      <c r="G647" s="25"/>
      <c r="H647" s="26"/>
      <c r="I647" s="25"/>
      <c r="J647" s="25"/>
      <c r="K647" s="25"/>
      <c r="L647" s="25"/>
      <c r="M647" s="25"/>
    </row>
    <row r="648" spans="1:13" x14ac:dyDescent="0.25">
      <c r="A648" s="25"/>
      <c r="B648" s="25"/>
      <c r="C648" s="25"/>
      <c r="D648" s="25"/>
      <c r="E648" s="25"/>
      <c r="F648" s="25"/>
      <c r="G648" s="25"/>
      <c r="H648" s="26"/>
      <c r="I648" s="25"/>
      <c r="J648" s="25"/>
      <c r="K648" s="25"/>
      <c r="L648" s="25"/>
      <c r="M648" s="25"/>
    </row>
    <row r="649" spans="1:13" x14ac:dyDescent="0.25">
      <c r="A649" s="25"/>
      <c r="B649" s="25"/>
      <c r="C649" s="25"/>
      <c r="D649" s="25"/>
      <c r="E649" s="25"/>
      <c r="F649" s="25"/>
      <c r="G649" s="25"/>
      <c r="H649" s="26"/>
      <c r="I649" s="25"/>
      <c r="J649" s="25"/>
      <c r="K649" s="25"/>
      <c r="L649" s="25"/>
      <c r="M649" s="25"/>
    </row>
    <row r="650" spans="1:13" x14ac:dyDescent="0.25">
      <c r="A650" s="25"/>
      <c r="B650" s="25"/>
      <c r="C650" s="25"/>
      <c r="D650" s="25"/>
      <c r="E650" s="25"/>
      <c r="F650" s="25"/>
      <c r="G650" s="25"/>
      <c r="H650" s="26"/>
      <c r="I650" s="25"/>
      <c r="J650" s="25"/>
      <c r="K650" s="25"/>
      <c r="L650" s="25"/>
      <c r="M650" s="25"/>
    </row>
    <row r="651" spans="1:13" x14ac:dyDescent="0.25">
      <c r="A651" s="25"/>
      <c r="B651" s="25"/>
      <c r="C651" s="25"/>
      <c r="D651" s="25"/>
      <c r="E651" s="25"/>
      <c r="F651" s="25"/>
      <c r="G651" s="25"/>
      <c r="H651" s="26"/>
      <c r="I651" s="25"/>
      <c r="J651" s="25"/>
      <c r="K651" s="25"/>
      <c r="L651" s="25"/>
      <c r="M651" s="25"/>
    </row>
    <row r="652" spans="1:13" x14ac:dyDescent="0.25">
      <c r="A652" s="25"/>
      <c r="B652" s="25"/>
      <c r="C652" s="25"/>
      <c r="D652" s="25"/>
      <c r="E652" s="25"/>
      <c r="F652" s="25"/>
      <c r="G652" s="25"/>
      <c r="H652" s="26"/>
      <c r="I652" s="25"/>
      <c r="J652" s="25"/>
      <c r="K652" s="25"/>
      <c r="L652" s="25"/>
      <c r="M652" s="25"/>
    </row>
    <row r="653" spans="1:13" x14ac:dyDescent="0.25">
      <c r="A653" s="25"/>
      <c r="B653" s="25"/>
      <c r="C653" s="25"/>
      <c r="D653" s="25"/>
      <c r="E653" s="25"/>
      <c r="F653" s="25"/>
      <c r="G653" s="25"/>
      <c r="H653" s="26"/>
      <c r="I653" s="25"/>
      <c r="J653" s="25"/>
      <c r="K653" s="25"/>
      <c r="L653" s="25"/>
      <c r="M653" s="25"/>
    </row>
    <row r="654" spans="1:13" x14ac:dyDescent="0.25">
      <c r="A654" s="25"/>
      <c r="B654" s="25"/>
      <c r="C654" s="25"/>
      <c r="D654" s="25"/>
      <c r="E654" s="25"/>
      <c r="F654" s="25"/>
      <c r="G654" s="25"/>
      <c r="H654" s="26"/>
      <c r="I654" s="25"/>
      <c r="J654" s="25"/>
      <c r="K654" s="25"/>
      <c r="L654" s="25"/>
      <c r="M654" s="25"/>
    </row>
    <row r="655" spans="1:13" x14ac:dyDescent="0.25">
      <c r="A655" s="25"/>
      <c r="B655" s="25"/>
      <c r="C655" s="25"/>
      <c r="D655" s="25"/>
      <c r="E655" s="25"/>
      <c r="F655" s="25"/>
      <c r="G655" s="25"/>
      <c r="H655" s="26"/>
      <c r="I655" s="25"/>
      <c r="J655" s="25"/>
      <c r="K655" s="25"/>
      <c r="L655" s="25"/>
      <c r="M655" s="25"/>
    </row>
    <row r="656" spans="1:13" x14ac:dyDescent="0.25">
      <c r="A656" s="25"/>
      <c r="B656" s="25"/>
      <c r="C656" s="25"/>
      <c r="D656" s="25"/>
      <c r="E656" s="25"/>
      <c r="F656" s="25"/>
      <c r="G656" s="25"/>
      <c r="H656" s="26"/>
      <c r="I656" s="25"/>
      <c r="J656" s="25"/>
      <c r="K656" s="25"/>
      <c r="L656" s="25"/>
      <c r="M656" s="25"/>
    </row>
    <row r="657" spans="1:13" x14ac:dyDescent="0.25">
      <c r="A657" s="25"/>
      <c r="B657" s="25"/>
      <c r="C657" s="25"/>
      <c r="D657" s="25"/>
      <c r="E657" s="25"/>
      <c r="F657" s="25"/>
      <c r="G657" s="25"/>
      <c r="H657" s="26"/>
      <c r="I657" s="25"/>
      <c r="J657" s="25"/>
      <c r="K657" s="25"/>
      <c r="L657" s="25"/>
      <c r="M657" s="25"/>
    </row>
    <row r="658" spans="1:13" x14ac:dyDescent="0.25">
      <c r="A658" s="25"/>
      <c r="B658" s="25"/>
      <c r="C658" s="25"/>
      <c r="D658" s="25"/>
      <c r="E658" s="25"/>
      <c r="F658" s="25"/>
      <c r="G658" s="25"/>
      <c r="H658" s="26"/>
      <c r="I658" s="25"/>
      <c r="J658" s="25"/>
      <c r="K658" s="25"/>
      <c r="L658" s="25"/>
      <c r="M658" s="25"/>
    </row>
    <row r="659" spans="1:13" x14ac:dyDescent="0.25">
      <c r="A659" s="25"/>
      <c r="B659" s="25"/>
      <c r="C659" s="25"/>
      <c r="D659" s="25"/>
      <c r="E659" s="25"/>
      <c r="F659" s="25"/>
      <c r="G659" s="25"/>
      <c r="H659" s="26"/>
      <c r="I659" s="25"/>
      <c r="J659" s="25"/>
      <c r="K659" s="25"/>
      <c r="L659" s="25"/>
      <c r="M659" s="25"/>
    </row>
    <row r="660" spans="1:13" x14ac:dyDescent="0.25">
      <c r="A660" s="25"/>
      <c r="B660" s="25"/>
      <c r="C660" s="25"/>
      <c r="D660" s="25"/>
      <c r="E660" s="25"/>
      <c r="F660" s="25"/>
      <c r="G660" s="25"/>
      <c r="H660" s="26"/>
      <c r="I660" s="25"/>
      <c r="J660" s="25"/>
      <c r="K660" s="25"/>
      <c r="L660" s="25"/>
      <c r="M660" s="25"/>
    </row>
    <row r="661" spans="1:13" x14ac:dyDescent="0.25">
      <c r="A661" s="25"/>
      <c r="B661" s="25"/>
      <c r="C661" s="25"/>
      <c r="D661" s="25"/>
      <c r="E661" s="25"/>
      <c r="F661" s="25"/>
      <c r="G661" s="25"/>
      <c r="H661" s="26"/>
      <c r="I661" s="25"/>
      <c r="J661" s="25"/>
      <c r="K661" s="25"/>
      <c r="L661" s="25"/>
      <c r="M661" s="25"/>
    </row>
    <row r="662" spans="1:13" x14ac:dyDescent="0.25">
      <c r="A662" s="25"/>
      <c r="B662" s="25"/>
      <c r="C662" s="25"/>
      <c r="D662" s="25"/>
      <c r="E662" s="25"/>
      <c r="F662" s="25"/>
      <c r="G662" s="25"/>
      <c r="H662" s="26"/>
      <c r="I662" s="25"/>
      <c r="J662" s="25"/>
      <c r="K662" s="25"/>
      <c r="L662" s="25"/>
      <c r="M662" s="25"/>
    </row>
    <row r="663" spans="1:13" x14ac:dyDescent="0.25">
      <c r="A663" s="25"/>
      <c r="B663" s="25"/>
      <c r="C663" s="25"/>
      <c r="D663" s="25"/>
      <c r="E663" s="25"/>
      <c r="F663" s="25"/>
      <c r="G663" s="25"/>
      <c r="H663" s="26"/>
      <c r="I663" s="25"/>
      <c r="J663" s="25"/>
      <c r="K663" s="25"/>
      <c r="L663" s="25"/>
      <c r="M663" s="25"/>
    </row>
    <row r="664" spans="1:13" x14ac:dyDescent="0.25">
      <c r="A664" s="25"/>
      <c r="B664" s="25"/>
      <c r="C664" s="25"/>
      <c r="D664" s="25"/>
      <c r="E664" s="25"/>
      <c r="F664" s="25"/>
      <c r="G664" s="25"/>
      <c r="H664" s="26"/>
      <c r="I664" s="25"/>
      <c r="J664" s="25"/>
      <c r="K664" s="25"/>
      <c r="L664" s="25"/>
      <c r="M664" s="25"/>
    </row>
    <row r="665" spans="1:13" x14ac:dyDescent="0.25">
      <c r="A665" s="25"/>
      <c r="B665" s="25"/>
      <c r="C665" s="25"/>
      <c r="D665" s="25"/>
      <c r="E665" s="25"/>
      <c r="F665" s="25"/>
      <c r="G665" s="25"/>
      <c r="H665" s="26"/>
      <c r="I665" s="25"/>
      <c r="J665" s="25"/>
      <c r="K665" s="25"/>
      <c r="L665" s="25"/>
      <c r="M665" s="25"/>
    </row>
    <row r="666" spans="1:13" x14ac:dyDescent="0.25">
      <c r="A666" s="25"/>
      <c r="B666" s="25"/>
      <c r="C666" s="25"/>
      <c r="D666" s="25"/>
      <c r="E666" s="25"/>
      <c r="F666" s="25"/>
      <c r="G666" s="25"/>
      <c r="H666" s="26"/>
      <c r="I666" s="25"/>
      <c r="J666" s="25"/>
      <c r="K666" s="25"/>
      <c r="L666" s="25"/>
      <c r="M666" s="25"/>
    </row>
    <row r="667" spans="1:13" x14ac:dyDescent="0.25">
      <c r="A667" s="25"/>
      <c r="B667" s="25"/>
      <c r="C667" s="25"/>
      <c r="D667" s="25"/>
      <c r="E667" s="25"/>
      <c r="F667" s="25"/>
      <c r="G667" s="25"/>
      <c r="H667" s="26"/>
      <c r="I667" s="25"/>
      <c r="J667" s="25"/>
      <c r="K667" s="25"/>
      <c r="L667" s="25"/>
      <c r="M667" s="25"/>
    </row>
    <row r="668" spans="1:13" x14ac:dyDescent="0.25">
      <c r="A668" s="25"/>
      <c r="B668" s="25"/>
      <c r="C668" s="25"/>
      <c r="D668" s="25"/>
      <c r="E668" s="25"/>
      <c r="F668" s="25"/>
      <c r="G668" s="25"/>
      <c r="H668" s="26"/>
      <c r="I668" s="25"/>
      <c r="J668" s="25"/>
      <c r="K668" s="25"/>
      <c r="L668" s="25"/>
      <c r="M668" s="25"/>
    </row>
    <row r="669" spans="1:13" x14ac:dyDescent="0.25">
      <c r="A669" s="25"/>
      <c r="B669" s="25"/>
      <c r="C669" s="25"/>
      <c r="D669" s="25"/>
      <c r="E669" s="25"/>
      <c r="F669" s="25"/>
      <c r="G669" s="25"/>
      <c r="H669" s="26"/>
      <c r="I669" s="25"/>
      <c r="J669" s="25"/>
      <c r="K669" s="25"/>
      <c r="L669" s="25"/>
      <c r="M669" s="25"/>
    </row>
    <row r="670" spans="1:13" x14ac:dyDescent="0.25">
      <c r="A670" s="25"/>
      <c r="B670" s="25"/>
      <c r="C670" s="25"/>
      <c r="D670" s="25"/>
      <c r="E670" s="25"/>
      <c r="F670" s="25"/>
      <c r="G670" s="25"/>
      <c r="H670" s="26"/>
      <c r="I670" s="25"/>
      <c r="J670" s="25"/>
      <c r="K670" s="25"/>
      <c r="L670" s="25"/>
      <c r="M670" s="25"/>
    </row>
    <row r="671" spans="1:13" x14ac:dyDescent="0.25">
      <c r="A671" s="25"/>
      <c r="B671" s="25"/>
      <c r="C671" s="25"/>
      <c r="D671" s="25"/>
      <c r="E671" s="25"/>
      <c r="F671" s="25"/>
      <c r="G671" s="25"/>
      <c r="H671" s="26"/>
      <c r="I671" s="25"/>
      <c r="J671" s="25"/>
      <c r="K671" s="25"/>
      <c r="L671" s="25"/>
      <c r="M671" s="25"/>
    </row>
    <row r="672" spans="1:13" x14ac:dyDescent="0.25">
      <c r="A672" s="25"/>
      <c r="B672" s="25"/>
      <c r="C672" s="25"/>
      <c r="D672" s="25"/>
      <c r="E672" s="25"/>
      <c r="F672" s="25"/>
      <c r="G672" s="25"/>
      <c r="H672" s="26"/>
      <c r="I672" s="25"/>
      <c r="J672" s="25"/>
      <c r="K672" s="25"/>
      <c r="L672" s="25"/>
      <c r="M672" s="25"/>
    </row>
    <row r="673" spans="1:13" x14ac:dyDescent="0.25">
      <c r="A673" s="25"/>
      <c r="B673" s="25"/>
      <c r="C673" s="25"/>
      <c r="D673" s="25"/>
      <c r="E673" s="25"/>
      <c r="F673" s="25"/>
      <c r="G673" s="25"/>
      <c r="H673" s="26"/>
      <c r="I673" s="25"/>
      <c r="J673" s="25"/>
      <c r="K673" s="25"/>
      <c r="L673" s="25"/>
      <c r="M673" s="25"/>
    </row>
    <row r="674" spans="1:13" x14ac:dyDescent="0.25">
      <c r="A674" s="25"/>
      <c r="B674" s="25"/>
      <c r="C674" s="25"/>
      <c r="D674" s="25"/>
      <c r="E674" s="25"/>
      <c r="F674" s="25"/>
      <c r="G674" s="25"/>
      <c r="H674" s="26"/>
      <c r="I674" s="25"/>
      <c r="J674" s="25"/>
      <c r="K674" s="25"/>
      <c r="L674" s="25"/>
      <c r="M674" s="25"/>
    </row>
    <row r="675" spans="1:13" x14ac:dyDescent="0.25">
      <c r="A675" s="25"/>
      <c r="B675" s="25"/>
      <c r="C675" s="25"/>
      <c r="D675" s="25"/>
      <c r="E675" s="25"/>
      <c r="F675" s="25"/>
      <c r="G675" s="25"/>
      <c r="H675" s="26"/>
      <c r="I675" s="25"/>
      <c r="J675" s="25"/>
      <c r="K675" s="25"/>
      <c r="L675" s="25"/>
      <c r="M675" s="25"/>
    </row>
    <row r="676" spans="1:13" x14ac:dyDescent="0.25">
      <c r="A676" s="25"/>
      <c r="B676" s="25"/>
      <c r="C676" s="25"/>
      <c r="D676" s="25"/>
      <c r="E676" s="25"/>
      <c r="F676" s="25"/>
      <c r="G676" s="25"/>
      <c r="H676" s="26"/>
      <c r="I676" s="25"/>
      <c r="J676" s="25"/>
      <c r="K676" s="25"/>
      <c r="L676" s="25"/>
      <c r="M676" s="25"/>
    </row>
    <row r="677" spans="1:13" x14ac:dyDescent="0.25">
      <c r="A677" s="25"/>
      <c r="B677" s="25"/>
      <c r="C677" s="25"/>
      <c r="D677" s="25"/>
      <c r="E677" s="25"/>
      <c r="F677" s="25"/>
      <c r="G677" s="25"/>
      <c r="H677" s="26"/>
      <c r="I677" s="25"/>
      <c r="J677" s="25"/>
      <c r="K677" s="25"/>
      <c r="L677" s="25"/>
      <c r="M677" s="25"/>
    </row>
    <row r="678" spans="1:13" x14ac:dyDescent="0.25">
      <c r="A678" s="25"/>
      <c r="B678" s="25"/>
      <c r="C678" s="25"/>
      <c r="D678" s="25"/>
      <c r="E678" s="25"/>
      <c r="F678" s="25"/>
      <c r="G678" s="25"/>
      <c r="H678" s="26"/>
      <c r="I678" s="25"/>
      <c r="J678" s="25"/>
      <c r="K678" s="25"/>
      <c r="L678" s="25"/>
      <c r="M678" s="25"/>
    </row>
    <row r="679" spans="1:13" x14ac:dyDescent="0.25">
      <c r="A679" s="25"/>
      <c r="B679" s="25"/>
      <c r="C679" s="25"/>
      <c r="D679" s="25"/>
      <c r="E679" s="25"/>
      <c r="F679" s="25"/>
      <c r="G679" s="25"/>
      <c r="H679" s="26"/>
      <c r="I679" s="25"/>
      <c r="J679" s="25"/>
      <c r="K679" s="25"/>
      <c r="L679" s="25"/>
      <c r="M679" s="25"/>
    </row>
    <row r="680" spans="1:13" x14ac:dyDescent="0.25">
      <c r="A680" s="25"/>
      <c r="B680" s="25"/>
      <c r="C680" s="25"/>
      <c r="D680" s="25"/>
      <c r="E680" s="25"/>
      <c r="F680" s="25"/>
      <c r="G680" s="25"/>
      <c r="H680" s="26"/>
      <c r="I680" s="25"/>
      <c r="J680" s="25"/>
      <c r="K680" s="25"/>
      <c r="L680" s="25"/>
      <c r="M680" s="25"/>
    </row>
    <row r="681" spans="1:13" x14ac:dyDescent="0.25">
      <c r="A681" s="25"/>
      <c r="B681" s="25"/>
      <c r="C681" s="25"/>
      <c r="D681" s="25"/>
      <c r="E681" s="25"/>
      <c r="F681" s="25"/>
      <c r="G681" s="25"/>
      <c r="H681" s="26"/>
      <c r="I681" s="25"/>
      <c r="J681" s="25"/>
      <c r="K681" s="25"/>
      <c r="L681" s="25"/>
      <c r="M681" s="25"/>
    </row>
    <row r="682" spans="1:13" x14ac:dyDescent="0.25">
      <c r="A682" s="25"/>
      <c r="B682" s="25"/>
      <c r="C682" s="25"/>
      <c r="D682" s="25"/>
      <c r="E682" s="25"/>
      <c r="F682" s="25"/>
      <c r="G682" s="25"/>
      <c r="H682" s="26"/>
      <c r="I682" s="25"/>
      <c r="J682" s="25"/>
      <c r="K682" s="25"/>
      <c r="L682" s="25"/>
      <c r="M682" s="25"/>
    </row>
    <row r="683" spans="1:13" x14ac:dyDescent="0.25">
      <c r="A683" s="25"/>
      <c r="B683" s="25"/>
      <c r="C683" s="25"/>
      <c r="D683" s="25"/>
      <c r="E683" s="25"/>
      <c r="F683" s="25"/>
      <c r="G683" s="25"/>
      <c r="H683" s="26"/>
      <c r="I683" s="25"/>
      <c r="J683" s="25"/>
      <c r="K683" s="25"/>
      <c r="L683" s="25"/>
      <c r="M683" s="25"/>
    </row>
    <row r="684" spans="1:13" x14ac:dyDescent="0.25">
      <c r="A684" s="25"/>
      <c r="B684" s="25"/>
      <c r="C684" s="25"/>
      <c r="D684" s="25"/>
      <c r="E684" s="25"/>
      <c r="F684" s="25"/>
      <c r="G684" s="25"/>
      <c r="H684" s="26"/>
      <c r="I684" s="25"/>
      <c r="J684" s="25"/>
      <c r="K684" s="25"/>
      <c r="L684" s="25"/>
      <c r="M684" s="25"/>
    </row>
    <row r="685" spans="1:13" x14ac:dyDescent="0.25">
      <c r="A685" s="25"/>
      <c r="B685" s="25"/>
      <c r="C685" s="25"/>
      <c r="D685" s="25"/>
      <c r="E685" s="25"/>
      <c r="F685" s="25"/>
      <c r="G685" s="25"/>
      <c r="H685" s="26"/>
      <c r="I685" s="25"/>
      <c r="J685" s="25"/>
      <c r="K685" s="25"/>
      <c r="L685" s="25"/>
      <c r="M685" s="25"/>
    </row>
    <row r="686" spans="1:13" x14ac:dyDescent="0.25">
      <c r="A686" s="25"/>
      <c r="B686" s="25"/>
      <c r="C686" s="25"/>
      <c r="D686" s="25"/>
      <c r="E686" s="25"/>
      <c r="F686" s="25"/>
      <c r="G686" s="25"/>
      <c r="H686" s="26"/>
      <c r="I686" s="25"/>
      <c r="J686" s="25"/>
      <c r="K686" s="25"/>
      <c r="L686" s="25"/>
      <c r="M686" s="25"/>
    </row>
    <row r="687" spans="1:13" x14ac:dyDescent="0.25">
      <c r="A687" s="25"/>
      <c r="B687" s="25"/>
      <c r="C687" s="25"/>
      <c r="D687" s="25"/>
      <c r="E687" s="25"/>
      <c r="F687" s="25"/>
      <c r="G687" s="25"/>
      <c r="H687" s="26"/>
      <c r="I687" s="25"/>
      <c r="J687" s="25"/>
      <c r="K687" s="25"/>
      <c r="L687" s="25"/>
      <c r="M687" s="25"/>
    </row>
    <row r="688" spans="1:13" x14ac:dyDescent="0.25">
      <c r="A688" s="25"/>
      <c r="B688" s="25"/>
      <c r="C688" s="25"/>
      <c r="D688" s="25"/>
      <c r="E688" s="25"/>
      <c r="F688" s="25"/>
      <c r="G688" s="25"/>
      <c r="H688" s="26"/>
      <c r="I688" s="25"/>
      <c r="J688" s="25"/>
      <c r="K688" s="25"/>
      <c r="L688" s="25"/>
      <c r="M688" s="25"/>
    </row>
    <row r="689" spans="1:13" x14ac:dyDescent="0.25">
      <c r="A689" s="25"/>
      <c r="B689" s="25"/>
      <c r="C689" s="25"/>
      <c r="D689" s="25"/>
      <c r="E689" s="25"/>
      <c r="F689" s="25"/>
      <c r="G689" s="25"/>
      <c r="H689" s="26"/>
      <c r="I689" s="25"/>
      <c r="J689" s="25"/>
      <c r="K689" s="25"/>
      <c r="L689" s="25"/>
      <c r="M689" s="25"/>
    </row>
    <row r="690" spans="1:13" x14ac:dyDescent="0.25">
      <c r="A690" s="25"/>
      <c r="B690" s="25"/>
      <c r="C690" s="25"/>
      <c r="D690" s="25"/>
      <c r="E690" s="25"/>
      <c r="F690" s="25"/>
      <c r="G690" s="25"/>
      <c r="H690" s="26"/>
      <c r="I690" s="25"/>
      <c r="J690" s="25"/>
      <c r="K690" s="25"/>
      <c r="L690" s="25"/>
      <c r="M690" s="25"/>
    </row>
    <row r="691" spans="1:13" x14ac:dyDescent="0.25">
      <c r="A691" s="25"/>
      <c r="B691" s="25"/>
      <c r="C691" s="25"/>
      <c r="D691" s="25"/>
      <c r="E691" s="25"/>
      <c r="F691" s="25"/>
      <c r="G691" s="25"/>
      <c r="H691" s="26"/>
      <c r="I691" s="25"/>
      <c r="J691" s="25"/>
      <c r="K691" s="25"/>
      <c r="L691" s="25"/>
      <c r="M691" s="25"/>
    </row>
    <row r="692" spans="1:13" x14ac:dyDescent="0.25">
      <c r="A692" s="25"/>
      <c r="B692" s="25"/>
      <c r="C692" s="25"/>
      <c r="D692" s="25"/>
      <c r="E692" s="25"/>
      <c r="F692" s="25"/>
      <c r="G692" s="25"/>
      <c r="H692" s="26"/>
      <c r="I692" s="25"/>
      <c r="J692" s="25"/>
      <c r="K692" s="25"/>
      <c r="L692" s="25"/>
      <c r="M692" s="25"/>
    </row>
    <row r="693" spans="1:13" x14ac:dyDescent="0.25">
      <c r="A693" s="25"/>
      <c r="B693" s="25"/>
      <c r="C693" s="25"/>
      <c r="D693" s="25"/>
      <c r="E693" s="25"/>
      <c r="F693" s="25"/>
      <c r="G693" s="25"/>
      <c r="H693" s="26"/>
      <c r="I693" s="25"/>
      <c r="J693" s="25"/>
      <c r="K693" s="25"/>
      <c r="L693" s="25"/>
      <c r="M693" s="25"/>
    </row>
    <row r="694" spans="1:13" x14ac:dyDescent="0.25">
      <c r="A694" s="25"/>
      <c r="B694" s="25"/>
      <c r="C694" s="25"/>
      <c r="D694" s="25"/>
      <c r="E694" s="25"/>
      <c r="F694" s="25"/>
      <c r="G694" s="25"/>
      <c r="H694" s="26"/>
      <c r="I694" s="25"/>
      <c r="J694" s="25"/>
      <c r="K694" s="25"/>
      <c r="L694" s="25"/>
      <c r="M694" s="25"/>
    </row>
    <row r="695" spans="1:13" x14ac:dyDescent="0.25">
      <c r="A695" s="25"/>
      <c r="B695" s="25"/>
      <c r="C695" s="25"/>
      <c r="D695" s="25"/>
      <c r="E695" s="25"/>
      <c r="F695" s="25"/>
      <c r="G695" s="25"/>
      <c r="H695" s="26"/>
      <c r="I695" s="25"/>
      <c r="J695" s="25"/>
      <c r="K695" s="25"/>
      <c r="L695" s="25"/>
      <c r="M695" s="25"/>
    </row>
    <row r="696" spans="1:13" x14ac:dyDescent="0.25">
      <c r="A696" s="25"/>
      <c r="B696" s="25"/>
      <c r="C696" s="25"/>
      <c r="D696" s="25"/>
      <c r="E696" s="25"/>
      <c r="F696" s="25"/>
      <c r="G696" s="25"/>
      <c r="H696" s="26"/>
      <c r="I696" s="25"/>
      <c r="J696" s="25"/>
      <c r="K696" s="25"/>
      <c r="L696" s="25"/>
      <c r="M696" s="25"/>
    </row>
    <row r="697" spans="1:13" x14ac:dyDescent="0.25">
      <c r="A697" s="25"/>
      <c r="B697" s="25"/>
      <c r="C697" s="25"/>
      <c r="D697" s="25"/>
      <c r="E697" s="25"/>
      <c r="F697" s="25"/>
      <c r="G697" s="25"/>
      <c r="H697" s="26"/>
      <c r="I697" s="25"/>
      <c r="J697" s="25"/>
      <c r="K697" s="25"/>
      <c r="L697" s="25"/>
      <c r="M697" s="25"/>
    </row>
    <row r="698" spans="1:13" x14ac:dyDescent="0.25">
      <c r="A698" s="25"/>
      <c r="B698" s="25"/>
      <c r="C698" s="25"/>
      <c r="D698" s="25"/>
      <c r="E698" s="25"/>
      <c r="F698" s="25"/>
      <c r="G698" s="25"/>
      <c r="H698" s="26"/>
      <c r="I698" s="25"/>
      <c r="J698" s="25"/>
      <c r="K698" s="25"/>
      <c r="L698" s="25"/>
      <c r="M698" s="25"/>
    </row>
    <row r="699" spans="1:13" x14ac:dyDescent="0.25">
      <c r="A699" s="25"/>
      <c r="B699" s="25"/>
      <c r="C699" s="25"/>
      <c r="D699" s="25"/>
      <c r="E699" s="25"/>
      <c r="F699" s="25"/>
      <c r="G699" s="25"/>
      <c r="H699" s="26"/>
      <c r="I699" s="25"/>
      <c r="J699" s="25"/>
      <c r="K699" s="25"/>
      <c r="L699" s="25"/>
      <c r="M699" s="25"/>
    </row>
    <row r="700" spans="1:13" x14ac:dyDescent="0.25">
      <c r="A700" s="25"/>
      <c r="B700" s="25"/>
      <c r="C700" s="25"/>
      <c r="D700" s="25"/>
      <c r="E700" s="25"/>
      <c r="F700" s="25"/>
      <c r="G700" s="25"/>
      <c r="H700" s="26"/>
      <c r="I700" s="25"/>
      <c r="J700" s="25"/>
      <c r="K700" s="25"/>
      <c r="L700" s="25"/>
      <c r="M700" s="25"/>
    </row>
    <row r="701" spans="1:13" x14ac:dyDescent="0.25">
      <c r="A701" s="25"/>
      <c r="B701" s="25"/>
      <c r="C701" s="25"/>
      <c r="D701" s="25"/>
      <c r="E701" s="25"/>
      <c r="F701" s="25"/>
      <c r="G701" s="25"/>
      <c r="H701" s="26"/>
      <c r="I701" s="25"/>
      <c r="J701" s="25"/>
      <c r="K701" s="25"/>
      <c r="L701" s="25"/>
      <c r="M701" s="25"/>
    </row>
    <row r="702" spans="1:13" x14ac:dyDescent="0.25">
      <c r="A702" s="25"/>
      <c r="B702" s="25"/>
      <c r="C702" s="25"/>
      <c r="D702" s="25"/>
      <c r="E702" s="25"/>
      <c r="F702" s="25"/>
      <c r="G702" s="25"/>
      <c r="H702" s="26"/>
      <c r="I702" s="25"/>
      <c r="J702" s="25"/>
      <c r="K702" s="25"/>
      <c r="L702" s="25"/>
      <c r="M702" s="25"/>
    </row>
    <row r="703" spans="1:13" x14ac:dyDescent="0.25">
      <c r="A703" s="25"/>
      <c r="B703" s="25"/>
      <c r="C703" s="25"/>
      <c r="D703" s="25"/>
      <c r="E703" s="25"/>
      <c r="F703" s="25"/>
      <c r="G703" s="25"/>
      <c r="H703" s="26"/>
      <c r="I703" s="25"/>
      <c r="J703" s="25"/>
      <c r="K703" s="25"/>
      <c r="L703" s="25"/>
      <c r="M703" s="25"/>
    </row>
    <row r="704" spans="1:13" x14ac:dyDescent="0.25">
      <c r="A704" s="25"/>
      <c r="B704" s="25"/>
      <c r="C704" s="25"/>
      <c r="D704" s="25"/>
      <c r="E704" s="25"/>
      <c r="F704" s="25"/>
      <c r="G704" s="25"/>
      <c r="H704" s="26"/>
      <c r="I704" s="25"/>
      <c r="J704" s="25"/>
      <c r="K704" s="25"/>
      <c r="L704" s="25"/>
      <c r="M704" s="25"/>
    </row>
    <row r="705" spans="1:13" x14ac:dyDescent="0.25">
      <c r="A705" s="25"/>
      <c r="B705" s="25"/>
      <c r="C705" s="25"/>
      <c r="D705" s="25"/>
      <c r="E705" s="25"/>
      <c r="F705" s="25"/>
      <c r="G705" s="25"/>
      <c r="H705" s="26"/>
      <c r="I705" s="25"/>
      <c r="J705" s="25"/>
      <c r="K705" s="25"/>
      <c r="L705" s="25"/>
      <c r="M705" s="25"/>
    </row>
    <row r="706" spans="1:13" x14ac:dyDescent="0.25">
      <c r="A706" s="25"/>
      <c r="B706" s="25"/>
      <c r="C706" s="25"/>
      <c r="D706" s="25"/>
      <c r="E706" s="25"/>
      <c r="F706" s="25"/>
      <c r="G706" s="25"/>
      <c r="H706" s="26"/>
      <c r="I706" s="25"/>
      <c r="J706" s="25"/>
      <c r="K706" s="25"/>
      <c r="L706" s="25"/>
      <c r="M706" s="25"/>
    </row>
    <row r="707" spans="1:13" x14ac:dyDescent="0.25">
      <c r="A707" s="25"/>
      <c r="B707" s="25"/>
      <c r="C707" s="25"/>
      <c r="D707" s="25"/>
      <c r="E707" s="25"/>
      <c r="F707" s="25"/>
      <c r="G707" s="25"/>
      <c r="H707" s="26"/>
      <c r="I707" s="25"/>
      <c r="J707" s="25"/>
      <c r="K707" s="25"/>
      <c r="L707" s="25"/>
      <c r="M707" s="25"/>
    </row>
    <row r="708" spans="1:13" x14ac:dyDescent="0.25">
      <c r="A708" s="25"/>
      <c r="B708" s="25"/>
      <c r="C708" s="25"/>
      <c r="D708" s="25"/>
      <c r="E708" s="25"/>
      <c r="F708" s="25"/>
      <c r="G708" s="25"/>
      <c r="H708" s="26"/>
      <c r="I708" s="25"/>
      <c r="J708" s="25"/>
      <c r="K708" s="25"/>
      <c r="L708" s="25"/>
      <c r="M708" s="25"/>
    </row>
    <row r="709" spans="1:13" x14ac:dyDescent="0.25">
      <c r="A709" s="25"/>
      <c r="B709" s="25"/>
      <c r="C709" s="25"/>
      <c r="D709" s="25"/>
      <c r="E709" s="25"/>
      <c r="F709" s="25"/>
      <c r="G709" s="25"/>
      <c r="H709" s="26"/>
      <c r="I709" s="25"/>
      <c r="J709" s="25"/>
      <c r="K709" s="25"/>
      <c r="L709" s="25"/>
      <c r="M709" s="25"/>
    </row>
    <row r="710" spans="1:13" x14ac:dyDescent="0.25">
      <c r="A710" s="25"/>
      <c r="B710" s="25"/>
      <c r="C710" s="25"/>
      <c r="D710" s="25"/>
      <c r="E710" s="25"/>
      <c r="F710" s="25"/>
      <c r="G710" s="25"/>
      <c r="H710" s="26"/>
      <c r="I710" s="25"/>
      <c r="J710" s="25"/>
      <c r="K710" s="25"/>
      <c r="L710" s="25"/>
      <c r="M710" s="25"/>
    </row>
    <row r="711" spans="1:13" x14ac:dyDescent="0.25">
      <c r="A711" s="25"/>
      <c r="B711" s="25"/>
      <c r="C711" s="25"/>
      <c r="D711" s="25"/>
      <c r="E711" s="25"/>
      <c r="F711" s="25"/>
      <c r="G711" s="25"/>
      <c r="H711" s="26"/>
      <c r="I711" s="25"/>
      <c r="J711" s="25"/>
      <c r="K711" s="25"/>
      <c r="L711" s="25"/>
      <c r="M711" s="25"/>
    </row>
    <row r="712" spans="1:13" x14ac:dyDescent="0.25">
      <c r="A712" s="25"/>
      <c r="B712" s="25"/>
      <c r="C712" s="25"/>
      <c r="D712" s="25"/>
      <c r="E712" s="25"/>
      <c r="F712" s="25"/>
      <c r="G712" s="25"/>
      <c r="H712" s="26"/>
      <c r="I712" s="25"/>
      <c r="J712" s="25"/>
      <c r="K712" s="25"/>
      <c r="L712" s="25"/>
      <c r="M712" s="25"/>
    </row>
    <row r="713" spans="1:13" x14ac:dyDescent="0.25">
      <c r="A713" s="25"/>
      <c r="B713" s="25"/>
      <c r="C713" s="25"/>
      <c r="D713" s="25"/>
      <c r="E713" s="25"/>
      <c r="F713" s="25"/>
      <c r="G713" s="25"/>
      <c r="H713" s="26"/>
      <c r="I713" s="25"/>
      <c r="J713" s="25"/>
      <c r="K713" s="25"/>
      <c r="L713" s="25"/>
      <c r="M713" s="25"/>
    </row>
    <row r="714" spans="1:13" x14ac:dyDescent="0.25">
      <c r="A714" s="25"/>
      <c r="B714" s="25"/>
      <c r="C714" s="25"/>
      <c r="D714" s="25"/>
      <c r="E714" s="25"/>
      <c r="F714" s="25"/>
      <c r="G714" s="25"/>
      <c r="H714" s="26"/>
      <c r="I714" s="25"/>
      <c r="J714" s="25"/>
      <c r="K714" s="25"/>
      <c r="L714" s="25"/>
      <c r="M714" s="25"/>
    </row>
    <row r="715" spans="1:13" x14ac:dyDescent="0.25">
      <c r="A715" s="25"/>
      <c r="B715" s="25"/>
      <c r="C715" s="25"/>
      <c r="D715" s="25"/>
      <c r="E715" s="25"/>
      <c r="F715" s="25"/>
      <c r="G715" s="25"/>
      <c r="H715" s="26"/>
      <c r="I715" s="25"/>
      <c r="J715" s="25"/>
      <c r="K715" s="25"/>
      <c r="L715" s="25"/>
      <c r="M715" s="25"/>
    </row>
    <row r="716" spans="1:13" x14ac:dyDescent="0.25">
      <c r="A716" s="25"/>
      <c r="B716" s="25"/>
      <c r="C716" s="25"/>
      <c r="D716" s="25"/>
      <c r="E716" s="25"/>
      <c r="F716" s="25"/>
      <c r="G716" s="25"/>
      <c r="H716" s="26"/>
      <c r="I716" s="25"/>
      <c r="J716" s="25"/>
      <c r="K716" s="25"/>
      <c r="L716" s="25"/>
      <c r="M716" s="25"/>
    </row>
    <row r="717" spans="1:13" x14ac:dyDescent="0.25">
      <c r="A717" s="25"/>
      <c r="B717" s="25"/>
      <c r="C717" s="25"/>
      <c r="D717" s="25"/>
      <c r="E717" s="25"/>
      <c r="F717" s="25"/>
      <c r="G717" s="25"/>
      <c r="H717" s="26"/>
      <c r="I717" s="25"/>
      <c r="J717" s="25"/>
      <c r="K717" s="25"/>
      <c r="L717" s="25"/>
      <c r="M717" s="25"/>
    </row>
    <row r="718" spans="1:13" x14ac:dyDescent="0.25">
      <c r="A718" s="25"/>
      <c r="B718" s="25"/>
      <c r="C718" s="25"/>
      <c r="D718" s="25"/>
      <c r="E718" s="25"/>
      <c r="F718" s="25"/>
      <c r="G718" s="25"/>
      <c r="H718" s="26"/>
      <c r="I718" s="25"/>
      <c r="J718" s="25"/>
      <c r="K718" s="25"/>
      <c r="L718" s="25"/>
      <c r="M718" s="25"/>
    </row>
    <row r="719" spans="1:13" x14ac:dyDescent="0.25">
      <c r="A719" s="25"/>
      <c r="B719" s="25"/>
      <c r="C719" s="25"/>
      <c r="D719" s="25"/>
      <c r="E719" s="25"/>
      <c r="F719" s="25"/>
      <c r="G719" s="25"/>
      <c r="H719" s="26"/>
      <c r="I719" s="25"/>
      <c r="J719" s="25"/>
      <c r="K719" s="25"/>
      <c r="L719" s="25"/>
      <c r="M719" s="25"/>
    </row>
    <row r="720" spans="1:13" x14ac:dyDescent="0.25">
      <c r="A720" s="25"/>
      <c r="B720" s="25"/>
      <c r="C720" s="25"/>
      <c r="D720" s="25"/>
      <c r="E720" s="25"/>
      <c r="F720" s="25"/>
      <c r="G720" s="25"/>
      <c r="H720" s="26"/>
      <c r="I720" s="25"/>
      <c r="J720" s="25"/>
      <c r="K720" s="25"/>
      <c r="L720" s="25"/>
      <c r="M720" s="25"/>
    </row>
    <row r="721" spans="1:13" x14ac:dyDescent="0.25">
      <c r="A721" s="25"/>
      <c r="B721" s="25"/>
      <c r="C721" s="25"/>
      <c r="D721" s="25"/>
      <c r="E721" s="25"/>
      <c r="F721" s="25"/>
      <c r="G721" s="25"/>
      <c r="H721" s="26"/>
      <c r="I721" s="25"/>
      <c r="J721" s="25"/>
      <c r="K721" s="25"/>
      <c r="L721" s="25"/>
      <c r="M721" s="25"/>
    </row>
    <row r="722" spans="1:13" x14ac:dyDescent="0.25">
      <c r="A722" s="25"/>
      <c r="B722" s="25"/>
      <c r="C722" s="25"/>
      <c r="D722" s="25"/>
      <c r="E722" s="25"/>
      <c r="F722" s="25"/>
      <c r="G722" s="25"/>
      <c r="H722" s="26"/>
      <c r="I722" s="25"/>
      <c r="J722" s="25"/>
      <c r="K722" s="25"/>
      <c r="L722" s="25"/>
      <c r="M722" s="25"/>
    </row>
    <row r="723" spans="1:13" x14ac:dyDescent="0.25">
      <c r="A723" s="25"/>
      <c r="B723" s="25"/>
      <c r="C723" s="25"/>
      <c r="D723" s="25"/>
      <c r="E723" s="25"/>
      <c r="F723" s="25"/>
      <c r="G723" s="25"/>
      <c r="H723" s="26"/>
      <c r="I723" s="25"/>
      <c r="J723" s="25"/>
      <c r="K723" s="25"/>
      <c r="L723" s="25"/>
      <c r="M723" s="25"/>
    </row>
    <row r="724" spans="1:13" x14ac:dyDescent="0.25">
      <c r="A724" s="25"/>
      <c r="B724" s="25"/>
      <c r="C724" s="25"/>
      <c r="D724" s="25"/>
      <c r="E724" s="25"/>
      <c r="F724" s="25"/>
      <c r="G724" s="25"/>
      <c r="H724" s="26"/>
      <c r="I724" s="25"/>
      <c r="J724" s="25"/>
      <c r="K724" s="25"/>
      <c r="L724" s="25"/>
      <c r="M724" s="25"/>
    </row>
    <row r="725" spans="1:13" x14ac:dyDescent="0.25">
      <c r="A725" s="25"/>
      <c r="B725" s="25"/>
      <c r="C725" s="25"/>
      <c r="D725" s="25"/>
      <c r="E725" s="25"/>
      <c r="F725" s="25"/>
      <c r="G725" s="25"/>
      <c r="H725" s="26"/>
      <c r="I725" s="25"/>
      <c r="J725" s="25"/>
      <c r="K725" s="25"/>
      <c r="L725" s="25"/>
      <c r="M725" s="25"/>
    </row>
    <row r="726" spans="1:13" x14ac:dyDescent="0.25">
      <c r="A726" s="25"/>
      <c r="B726" s="25"/>
      <c r="C726" s="25"/>
      <c r="D726" s="25"/>
      <c r="E726" s="25"/>
      <c r="F726" s="25"/>
      <c r="G726" s="25"/>
      <c r="H726" s="26"/>
      <c r="I726" s="25"/>
      <c r="J726" s="25"/>
      <c r="K726" s="25"/>
      <c r="L726" s="25"/>
      <c r="M726" s="25"/>
    </row>
    <row r="727" spans="1:13" x14ac:dyDescent="0.25">
      <c r="A727" s="25"/>
      <c r="B727" s="25"/>
      <c r="C727" s="25"/>
      <c r="D727" s="25"/>
      <c r="E727" s="25"/>
      <c r="F727" s="25"/>
      <c r="G727" s="25"/>
      <c r="H727" s="26"/>
      <c r="I727" s="25"/>
      <c r="J727" s="25"/>
      <c r="K727" s="25"/>
      <c r="L727" s="25"/>
      <c r="M727" s="25"/>
    </row>
    <row r="728" spans="1:13" x14ac:dyDescent="0.25">
      <c r="A728" s="25"/>
      <c r="B728" s="25"/>
      <c r="C728" s="25"/>
      <c r="D728" s="25"/>
      <c r="E728" s="25"/>
      <c r="F728" s="25"/>
      <c r="G728" s="25"/>
      <c r="H728" s="26"/>
      <c r="I728" s="25"/>
      <c r="J728" s="25"/>
      <c r="K728" s="25"/>
      <c r="L728" s="25"/>
      <c r="M728" s="25"/>
    </row>
    <row r="729" spans="1:13" x14ac:dyDescent="0.25">
      <c r="A729" s="25"/>
      <c r="B729" s="25"/>
      <c r="C729" s="25"/>
      <c r="D729" s="25"/>
      <c r="E729" s="25"/>
      <c r="F729" s="25"/>
      <c r="G729" s="25"/>
      <c r="H729" s="26"/>
      <c r="I729" s="25"/>
      <c r="J729" s="25"/>
      <c r="K729" s="25"/>
      <c r="L729" s="25"/>
      <c r="M729" s="25"/>
    </row>
    <row r="730" spans="1:13" x14ac:dyDescent="0.25">
      <c r="A730" s="25"/>
      <c r="B730" s="25"/>
      <c r="C730" s="25"/>
      <c r="D730" s="25"/>
      <c r="E730" s="25"/>
      <c r="F730" s="25"/>
      <c r="G730" s="25"/>
      <c r="H730" s="26"/>
      <c r="I730" s="25"/>
      <c r="J730" s="25"/>
      <c r="K730" s="25"/>
      <c r="L730" s="25"/>
      <c r="M730" s="25"/>
    </row>
    <row r="731" spans="1:13" x14ac:dyDescent="0.25">
      <c r="A731" s="25"/>
      <c r="B731" s="25"/>
      <c r="C731" s="25"/>
      <c r="D731" s="25"/>
      <c r="E731" s="25"/>
      <c r="F731" s="25"/>
      <c r="G731" s="25"/>
      <c r="H731" s="26"/>
      <c r="I731" s="25"/>
      <c r="J731" s="25"/>
      <c r="K731" s="25"/>
      <c r="L731" s="25"/>
      <c r="M731" s="25"/>
    </row>
    <row r="732" spans="1:13" x14ac:dyDescent="0.25">
      <c r="A732" s="25"/>
      <c r="B732" s="25"/>
      <c r="C732" s="25"/>
      <c r="D732" s="25"/>
      <c r="E732" s="25"/>
      <c r="F732" s="25"/>
      <c r="G732" s="25"/>
      <c r="H732" s="26"/>
      <c r="I732" s="25"/>
      <c r="J732" s="25"/>
      <c r="K732" s="25"/>
      <c r="L732" s="25"/>
      <c r="M732" s="25"/>
    </row>
    <row r="733" spans="1:13" x14ac:dyDescent="0.25">
      <c r="A733" s="25"/>
      <c r="B733" s="25"/>
      <c r="C733" s="25"/>
      <c r="D733" s="25"/>
      <c r="E733" s="25"/>
      <c r="F733" s="25"/>
      <c r="G733" s="25"/>
      <c r="H733" s="26"/>
      <c r="I733" s="25"/>
      <c r="J733" s="25"/>
      <c r="K733" s="25"/>
      <c r="L733" s="25"/>
      <c r="M733" s="25"/>
    </row>
    <row r="734" spans="1:13" x14ac:dyDescent="0.25">
      <c r="A734" s="25"/>
      <c r="B734" s="25"/>
      <c r="C734" s="25"/>
      <c r="D734" s="25"/>
      <c r="E734" s="25"/>
      <c r="F734" s="25"/>
      <c r="G734" s="25"/>
      <c r="H734" s="26"/>
      <c r="I734" s="25"/>
      <c r="J734" s="25"/>
      <c r="K734" s="25"/>
      <c r="L734" s="25"/>
      <c r="M734" s="25"/>
    </row>
    <row r="735" spans="1:13" x14ac:dyDescent="0.25">
      <c r="A735" s="25"/>
      <c r="B735" s="25"/>
      <c r="C735" s="25"/>
      <c r="D735" s="25"/>
      <c r="E735" s="25"/>
      <c r="F735" s="25"/>
      <c r="G735" s="25"/>
      <c r="H735" s="26"/>
      <c r="I735" s="25"/>
      <c r="J735" s="25"/>
      <c r="K735" s="25"/>
      <c r="L735" s="25"/>
      <c r="M735" s="25"/>
    </row>
    <row r="736" spans="1:13" x14ac:dyDescent="0.25">
      <c r="A736" s="25"/>
      <c r="B736" s="25"/>
      <c r="C736" s="25"/>
      <c r="D736" s="25"/>
      <c r="E736" s="25"/>
      <c r="F736" s="25"/>
      <c r="G736" s="25"/>
      <c r="H736" s="26"/>
      <c r="I736" s="25"/>
      <c r="J736" s="25"/>
      <c r="K736" s="25"/>
      <c r="L736" s="25"/>
      <c r="M736" s="25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8"/>
  <sheetViews>
    <sheetView topLeftCell="J1" zoomScale="70" zoomScaleNormal="70" workbookViewId="0">
      <pane ySplit="1440" topLeftCell="A124" activePane="bottomLeft"/>
      <selection activeCell="P4" sqref="P4"/>
      <selection pane="bottomLeft" activeCell="W101" sqref="W101"/>
    </sheetView>
  </sheetViews>
  <sheetFormatPr defaultRowHeight="15" x14ac:dyDescent="0.25"/>
  <cols>
    <col min="3" max="3" width="11.85546875" style="1" customWidth="1"/>
    <col min="6" max="11" width="11.85546875" customWidth="1"/>
    <col min="22" max="22" width="11" style="1" bestFit="1" customWidth="1"/>
    <col min="23" max="28" width="9.28515625" style="1" bestFit="1" customWidth="1"/>
  </cols>
  <sheetData>
    <row r="1" spans="1:28" x14ac:dyDescent="0.25">
      <c r="C1" s="1" t="s">
        <v>180</v>
      </c>
      <c r="M1" t="s">
        <v>181</v>
      </c>
      <c r="V1" s="1" t="s">
        <v>188</v>
      </c>
    </row>
    <row r="2" spans="1:28" x14ac:dyDescent="0.25">
      <c r="C2" s="2" t="s">
        <v>177</v>
      </c>
      <c r="D2" s="7"/>
      <c r="F2" s="2" t="s">
        <v>179</v>
      </c>
      <c r="G2" s="1"/>
      <c r="H2" s="1"/>
      <c r="I2" s="1"/>
      <c r="J2" s="1"/>
      <c r="K2" s="1"/>
      <c r="M2" s="7" t="s">
        <v>182</v>
      </c>
      <c r="V2" s="2" t="s">
        <v>183</v>
      </c>
    </row>
    <row r="3" spans="1:28" x14ac:dyDescent="0.25">
      <c r="C3" s="2" t="s">
        <v>1</v>
      </c>
      <c r="D3" s="7"/>
      <c r="F3" s="2" t="s">
        <v>1</v>
      </c>
      <c r="G3" s="1"/>
      <c r="H3" s="1"/>
      <c r="I3" s="2" t="s">
        <v>3</v>
      </c>
      <c r="J3" s="1"/>
      <c r="K3" s="1"/>
      <c r="M3" s="2" t="s">
        <v>1</v>
      </c>
      <c r="N3" s="1"/>
      <c r="O3" s="1"/>
      <c r="Q3" s="2" t="s">
        <v>3</v>
      </c>
      <c r="V3" s="1" t="s">
        <v>1</v>
      </c>
      <c r="W3" s="2" t="s">
        <v>1</v>
      </c>
      <c r="Z3" s="2" t="s">
        <v>3</v>
      </c>
    </row>
    <row r="4" spans="1:28" x14ac:dyDescent="0.25">
      <c r="C4" s="2" t="s">
        <v>178</v>
      </c>
      <c r="D4" s="7"/>
      <c r="F4" s="1" t="s">
        <v>37</v>
      </c>
      <c r="G4" s="1" t="s">
        <v>36</v>
      </c>
      <c r="H4" s="1" t="s">
        <v>39</v>
      </c>
      <c r="I4" s="1" t="s">
        <v>37</v>
      </c>
      <c r="J4" s="1" t="s">
        <v>36</v>
      </c>
      <c r="K4" s="1" t="s">
        <v>39</v>
      </c>
      <c r="M4" s="1" t="s">
        <v>37</v>
      </c>
      <c r="N4" s="1" t="s">
        <v>36</v>
      </c>
      <c r="O4" s="1" t="s">
        <v>53</v>
      </c>
      <c r="P4" s="1" t="s">
        <v>52</v>
      </c>
      <c r="Q4" s="1" t="s">
        <v>37</v>
      </c>
      <c r="R4" s="1" t="s">
        <v>36</v>
      </c>
      <c r="S4" s="1" t="s">
        <v>53</v>
      </c>
      <c r="T4" s="1" t="s">
        <v>52</v>
      </c>
      <c r="U4" s="1"/>
      <c r="V4" s="1" t="s">
        <v>187</v>
      </c>
    </row>
    <row r="5" spans="1:28" x14ac:dyDescent="0.25">
      <c r="C5" s="1" t="s">
        <v>1</v>
      </c>
      <c r="F5" s="1" t="s">
        <v>1</v>
      </c>
      <c r="G5" s="1" t="s">
        <v>1</v>
      </c>
      <c r="H5" s="1" t="s">
        <v>1</v>
      </c>
      <c r="I5" s="1" t="s">
        <v>3</v>
      </c>
      <c r="J5" s="1" t="s">
        <v>3</v>
      </c>
      <c r="K5" s="1" t="s">
        <v>3</v>
      </c>
      <c r="M5" s="1" t="s">
        <v>49</v>
      </c>
      <c r="N5" s="1" t="s">
        <v>49</v>
      </c>
      <c r="O5" s="1" t="s">
        <v>49</v>
      </c>
      <c r="P5" s="1" t="s">
        <v>49</v>
      </c>
      <c r="Q5" s="1" t="s">
        <v>49</v>
      </c>
      <c r="R5" s="1" t="s">
        <v>49</v>
      </c>
      <c r="S5" s="1" t="s">
        <v>49</v>
      </c>
      <c r="T5" s="1" t="s">
        <v>49</v>
      </c>
      <c r="U5" s="1"/>
      <c r="V5" s="1" t="s">
        <v>176</v>
      </c>
      <c r="W5" s="1" t="s">
        <v>184</v>
      </c>
      <c r="X5" s="1" t="s">
        <v>185</v>
      </c>
      <c r="Y5" s="1" t="s">
        <v>186</v>
      </c>
      <c r="Z5" s="1" t="s">
        <v>184</v>
      </c>
      <c r="AA5" s="1" t="s">
        <v>185</v>
      </c>
      <c r="AB5" s="1" t="s">
        <v>186</v>
      </c>
    </row>
    <row r="6" spans="1:28" x14ac:dyDescent="0.25">
      <c r="C6" s="1" t="s">
        <v>2</v>
      </c>
      <c r="F6" s="1" t="s">
        <v>2</v>
      </c>
      <c r="G6" s="1" t="s">
        <v>2</v>
      </c>
      <c r="H6" s="1" t="s">
        <v>2</v>
      </c>
      <c r="I6" s="1" t="s">
        <v>2</v>
      </c>
      <c r="J6" s="1" t="s">
        <v>2</v>
      </c>
      <c r="K6" s="1" t="s">
        <v>2</v>
      </c>
      <c r="M6" t="s">
        <v>48</v>
      </c>
      <c r="N6" t="s">
        <v>48</v>
      </c>
      <c r="O6" t="s">
        <v>48</v>
      </c>
      <c r="P6" t="s">
        <v>48</v>
      </c>
      <c r="Q6" t="s">
        <v>48</v>
      </c>
      <c r="R6" t="s">
        <v>48</v>
      </c>
      <c r="S6" t="s">
        <v>48</v>
      </c>
      <c r="T6" t="s">
        <v>48</v>
      </c>
      <c r="V6" s="1" t="s">
        <v>49</v>
      </c>
      <c r="W6" s="1" t="s">
        <v>49</v>
      </c>
      <c r="X6" s="1" t="s">
        <v>49</v>
      </c>
      <c r="Y6" s="1" t="s">
        <v>49</v>
      </c>
      <c r="Z6" s="1" t="s">
        <v>49</v>
      </c>
      <c r="AA6" s="1" t="s">
        <v>49</v>
      </c>
      <c r="AB6" s="1" t="s">
        <v>49</v>
      </c>
    </row>
    <row r="8" spans="1:28" x14ac:dyDescent="0.25">
      <c r="A8">
        <v>1590</v>
      </c>
      <c r="V8" s="1">
        <f>'3- Gelderblom Suiker 17e e'!U96</f>
        <v>220139.90480302286</v>
      </c>
    </row>
    <row r="9" spans="1:28" x14ac:dyDescent="0.25">
      <c r="A9">
        <v>1591</v>
      </c>
      <c r="V9" s="1">
        <f>'3- Gelderblom Suiker 17e e'!U97</f>
        <v>260210.13033804495</v>
      </c>
    </row>
    <row r="10" spans="1:28" x14ac:dyDescent="0.25">
      <c r="A10">
        <v>1592</v>
      </c>
      <c r="C10" s="1">
        <f>'4- Gelderblom Import Suiker 17e'!BW17</f>
        <v>176203.36397999997</v>
      </c>
      <c r="D10" s="11"/>
      <c r="V10" s="1">
        <f>'3- Gelderblom Suiker 17e e'!U98</f>
        <v>300294.13688786968</v>
      </c>
    </row>
    <row r="11" spans="1:28" x14ac:dyDescent="0.25">
      <c r="A11">
        <v>1593</v>
      </c>
      <c r="C11" s="1">
        <f>'4- Gelderblom Import Suiker 17e'!BW18</f>
        <v>207289.53042000002</v>
      </c>
      <c r="D11" s="11"/>
      <c r="V11" s="1">
        <f>'3- Gelderblom Suiker 17e e'!U99</f>
        <v>340391.92445249704</v>
      </c>
    </row>
    <row r="12" spans="1:28" x14ac:dyDescent="0.25">
      <c r="A12">
        <v>1594</v>
      </c>
      <c r="C12" s="1">
        <f>'4- Gelderblom Import Suiker 17e'!BW19</f>
        <v>255129.30057999998</v>
      </c>
      <c r="D12" s="11"/>
      <c r="V12" s="1">
        <f>'3- Gelderblom Suiker 17e e'!U100</f>
        <v>380503.49303192727</v>
      </c>
    </row>
    <row r="13" spans="1:28" x14ac:dyDescent="0.25">
      <c r="A13">
        <v>1595</v>
      </c>
      <c r="C13" s="1">
        <f>'4- Gelderblom Import Suiker 17e'!BW20</f>
        <v>258664.02044000002</v>
      </c>
      <c r="D13" s="11"/>
      <c r="V13" s="1">
        <f>'3- Gelderblom Suiker 17e e'!U101</f>
        <v>420628.84262616007</v>
      </c>
    </row>
    <row r="14" spans="1:28" x14ac:dyDescent="0.25">
      <c r="A14">
        <v>1596</v>
      </c>
      <c r="C14" s="1">
        <f>'4- Gelderblom Import Suiker 17e'!BW21</f>
        <v>489292.38609999995</v>
      </c>
      <c r="D14" s="11"/>
      <c r="V14" s="1">
        <f>'3- Gelderblom Suiker 17e e'!U102</f>
        <v>460767.97323519568</v>
      </c>
    </row>
    <row r="15" spans="1:28" x14ac:dyDescent="0.25">
      <c r="A15">
        <v>1597</v>
      </c>
      <c r="C15" s="1">
        <f>'4- Gelderblom Import Suiker 17e'!BW22</f>
        <v>512534.37970000005</v>
      </c>
      <c r="D15" s="11"/>
      <c r="V15" s="1">
        <f>'3- Gelderblom Suiker 17e e'!U103</f>
        <v>500920.8848590338</v>
      </c>
    </row>
    <row r="16" spans="1:28" x14ac:dyDescent="0.25">
      <c r="A16">
        <v>1598</v>
      </c>
      <c r="C16" s="1">
        <f>'4- Gelderblom Import Suiker 17e'!BW23</f>
        <v>520378.55253999995</v>
      </c>
      <c r="D16" s="11"/>
      <c r="V16" s="1">
        <f>'3- Gelderblom Suiker 17e e'!U104</f>
        <v>500920.8848590338</v>
      </c>
    </row>
    <row r="17" spans="1:22" x14ac:dyDescent="0.25">
      <c r="A17">
        <v>1599</v>
      </c>
      <c r="C17" s="1">
        <f>'4- Gelderblom Import Suiker 17e'!BW24</f>
        <v>559212.05018000002</v>
      </c>
      <c r="D17" s="11"/>
      <c r="V17" s="1">
        <f>'3- Gelderblom Suiker 17e e'!U105</f>
        <v>500519.70398053504</v>
      </c>
    </row>
    <row r="18" spans="1:22" x14ac:dyDescent="0.25">
      <c r="A18">
        <v>1600</v>
      </c>
      <c r="C18" s="1">
        <f>'4- Gelderblom Import Suiker 17e'!BW25</f>
        <v>648596.88390000002</v>
      </c>
      <c r="D18" s="11"/>
      <c r="V18" s="1">
        <f>'3- Gelderblom Suiker 17e e'!U106</f>
        <v>499778.59005145833</v>
      </c>
    </row>
    <row r="19" spans="1:22" x14ac:dyDescent="0.25">
      <c r="A19">
        <v>1601</v>
      </c>
      <c r="C19" s="1">
        <f>'4- Gelderblom Import Suiker 17e'!BW26</f>
        <v>392111.80035999994</v>
      </c>
      <c r="D19" s="11"/>
      <c r="V19" s="1">
        <f>'3- Gelderblom Suiker 17e e'!U107</f>
        <v>498874.3980763281</v>
      </c>
    </row>
    <row r="20" spans="1:22" x14ac:dyDescent="0.25">
      <c r="A20">
        <v>1602</v>
      </c>
      <c r="C20" s="1">
        <f>'4- Gelderblom Import Suiker 17e'!BW27</f>
        <v>453993.60832</v>
      </c>
      <c r="D20" s="11"/>
      <c r="V20" s="1">
        <f>'3- Gelderblom Suiker 17e e'!U108</f>
        <v>497983.98305966967</v>
      </c>
    </row>
    <row r="21" spans="1:22" x14ac:dyDescent="0.25">
      <c r="A21">
        <v>1603</v>
      </c>
      <c r="C21" s="1">
        <f>'4- Gelderblom Import Suiker 17e'!BW28</f>
        <v>615138.09727999999</v>
      </c>
      <c r="D21" s="11"/>
      <c r="V21" s="1">
        <f>'3- Gelderblom Suiker 17e e'!U109</f>
        <v>497284.20000600768</v>
      </c>
    </row>
    <row r="22" spans="1:22" x14ac:dyDescent="0.25">
      <c r="A22">
        <v>1604</v>
      </c>
      <c r="C22" s="1">
        <f>'4- Gelderblom Import Suiker 17e'!BW29</f>
        <v>770084.72127999994</v>
      </c>
      <c r="D22" s="11"/>
      <c r="V22" s="1">
        <f>'3- Gelderblom Suiker 17e e'!U110</f>
        <v>496951.90391986707</v>
      </c>
    </row>
    <row r="23" spans="1:22" x14ac:dyDescent="0.25">
      <c r="A23">
        <v>1605</v>
      </c>
      <c r="C23" s="1">
        <f>'4- Gelderblom Import Suiker 17e'!BW30</f>
        <v>895107.27851999993</v>
      </c>
      <c r="D23" s="11"/>
      <c r="V23" s="1">
        <f>'3- Gelderblom Suiker 17e e'!U111</f>
        <v>497163.94980577281</v>
      </c>
    </row>
    <row r="24" spans="1:22" x14ac:dyDescent="0.25">
      <c r="A24">
        <v>1606</v>
      </c>
      <c r="C24" s="1">
        <f>'4- Gelderblom Import Suiker 17e'!BW31</f>
        <v>1068550.65576</v>
      </c>
      <c r="D24" s="11"/>
      <c r="V24" s="1">
        <f>'3- Gelderblom Suiker 17e e'!U112</f>
        <v>612893.03004101035</v>
      </c>
    </row>
    <row r="25" spans="1:22" x14ac:dyDescent="0.25">
      <c r="A25">
        <v>1607</v>
      </c>
      <c r="C25" s="1">
        <f>'4- Gelderblom Import Suiker 17e'!BW32</f>
        <v>1168200.7033199999</v>
      </c>
      <c r="D25" s="11"/>
      <c r="V25" s="1">
        <f>'3- Gelderblom Suiker 17e e'!U113</f>
        <v>730364.27472430293</v>
      </c>
    </row>
    <row r="26" spans="1:22" x14ac:dyDescent="0.25">
      <c r="A26">
        <v>1608</v>
      </c>
      <c r="C26" s="1">
        <f>'4- Gelderblom Import Suiker 17e'!BW33</f>
        <v>1212360.49116</v>
      </c>
      <c r="D26" s="11"/>
      <c r="V26" s="1">
        <f>'3- Gelderblom Suiker 17e e'!U114</f>
        <v>850497.73626820301</v>
      </c>
    </row>
    <row r="27" spans="1:22" x14ac:dyDescent="0.25">
      <c r="A27">
        <v>1609</v>
      </c>
      <c r="C27" s="1">
        <f>'4- Gelderblom Import Suiker 17e'!BW34</f>
        <v>1205000.5265199998</v>
      </c>
      <c r="D27" s="11"/>
      <c r="V27" s="1">
        <f>'3- Gelderblom Suiker 17e e'!U115</f>
        <v>974376.50529255811</v>
      </c>
    </row>
    <row r="28" spans="1:22" x14ac:dyDescent="0.25">
      <c r="A28">
        <v>1610</v>
      </c>
      <c r="C28" s="1">
        <f>'4- Gelderblom Import Suiker 17e'!BW35</f>
        <v>1159484.95572</v>
      </c>
      <c r="D28" s="11"/>
      <c r="V28" s="1">
        <f>'3- Gelderblom Suiker 17e e'!U116</f>
        <v>1323411.0285047921</v>
      </c>
    </row>
    <row r="29" spans="1:22" x14ac:dyDescent="0.25">
      <c r="A29">
        <v>1611</v>
      </c>
      <c r="C29" s="1">
        <f>'4- Gelderblom Import Suiker 17e'!BW36</f>
        <v>1444489.90224</v>
      </c>
      <c r="D29" s="11"/>
      <c r="V29" s="1">
        <f>'3- Gelderblom Suiker 17e e'!U117</f>
        <v>1481925.3456377608</v>
      </c>
    </row>
    <row r="30" spans="1:22" x14ac:dyDescent="0.25">
      <c r="A30">
        <v>1612</v>
      </c>
      <c r="C30" s="1">
        <f>'4- Gelderblom Import Suiker 17e'!BW37</f>
        <v>1419407.9174799998</v>
      </c>
      <c r="D30" s="11"/>
      <c r="V30" s="1">
        <f>'3- Gelderblom Suiker 17e e'!U118</f>
        <v>1642213.1952093621</v>
      </c>
    </row>
    <row r="31" spans="1:22" x14ac:dyDescent="0.25">
      <c r="A31">
        <v>1613</v>
      </c>
      <c r="C31" s="1">
        <f>'4- Gelderblom Import Suiker 17e'!BW38</f>
        <v>1314286.3172599997</v>
      </c>
      <c r="D31" s="11"/>
      <c r="V31" s="1">
        <f>'3- Gelderblom Suiker 17e e'!U119</f>
        <v>1800642.2098373773</v>
      </c>
    </row>
    <row r="32" spans="1:22" x14ac:dyDescent="0.25">
      <c r="A32">
        <v>1614</v>
      </c>
      <c r="C32" s="1">
        <f>'4- Gelderblom Import Suiker 17e'!BW39</f>
        <v>1283974.8839399999</v>
      </c>
      <c r="D32" s="11"/>
      <c r="V32" s="1">
        <f>'3- Gelderblom Suiker 17e e'!U120</f>
        <v>1952529.2172979815</v>
      </c>
    </row>
    <row r="33" spans="1:22" x14ac:dyDescent="0.25">
      <c r="A33">
        <v>1615</v>
      </c>
      <c r="C33" s="1">
        <f>'4- Gelderblom Import Suiker 17e'!BW40</f>
        <v>1246109.8026999999</v>
      </c>
      <c r="D33" s="11"/>
      <c r="V33" s="1">
        <f>'3- Gelderblom Suiker 17e e'!U121</f>
        <v>2092140.2405257453</v>
      </c>
    </row>
    <row r="34" spans="1:22" x14ac:dyDescent="0.25">
      <c r="A34">
        <v>1616</v>
      </c>
      <c r="C34" s="1">
        <f>'4- Gelderblom Import Suiker 17e'!BW41</f>
        <v>987348.94061999989</v>
      </c>
      <c r="D34" s="11"/>
      <c r="V34" s="1">
        <f>'3- Gelderblom Suiker 17e e'!U122</f>
        <v>2212690.4976136363</v>
      </c>
    </row>
    <row r="35" spans="1:22" x14ac:dyDescent="0.25">
      <c r="A35">
        <v>1617</v>
      </c>
      <c r="C35" s="1">
        <f>'4- Gelderblom Import Suiker 17e'!BW42</f>
        <v>1014948.80802</v>
      </c>
      <c r="D35" s="11"/>
      <c r="V35" s="1">
        <f>'3- Gelderblom Suiker 17e e'!U123</f>
        <v>2306344.4018130139</v>
      </c>
    </row>
    <row r="36" spans="1:22" x14ac:dyDescent="0.25">
      <c r="A36">
        <v>1618</v>
      </c>
      <c r="C36" s="1">
        <f>'4- Gelderblom Import Suiker 17e'!BW43</f>
        <v>1107384.1534</v>
      </c>
      <c r="D36" s="11"/>
      <c r="V36" s="1">
        <f>'3- Gelderblom Suiker 17e e'!U124</f>
        <v>3697697.8479509447</v>
      </c>
    </row>
    <row r="37" spans="1:22" x14ac:dyDescent="0.25">
      <c r="A37">
        <v>1619</v>
      </c>
      <c r="C37" s="1">
        <f>'4- Gelderblom Import Suiker 17e'!BW44</f>
        <v>1043274.98772</v>
      </c>
      <c r="D37" s="11"/>
      <c r="V37" s="1">
        <f>'3- Gelderblom Suiker 17e e'!U125</f>
        <v>3514035.9043898727</v>
      </c>
    </row>
    <row r="38" spans="1:22" x14ac:dyDescent="0.25">
      <c r="A38">
        <v>1620</v>
      </c>
      <c r="C38" s="1">
        <f>'4- Gelderblom Import Suiker 17e'!BW45</f>
        <v>1182823.7909599999</v>
      </c>
      <c r="D38" s="11"/>
      <c r="V38" s="1">
        <f>'3- Gelderblom Suiker 17e e'!U126</f>
        <v>3281589.7142913262</v>
      </c>
    </row>
    <row r="39" spans="1:22" x14ac:dyDescent="0.25">
      <c r="A39">
        <v>1621</v>
      </c>
      <c r="C39" s="1">
        <f>'4- Gelderblom Import Suiker 17e'!BW46</f>
        <v>1065742.2482</v>
      </c>
      <c r="D39" s="11"/>
      <c r="V39" s="1">
        <f>'3- Gelderblom Suiker 17e e'!U127</f>
        <v>3051945.8380992343</v>
      </c>
    </row>
    <row r="40" spans="1:22" x14ac:dyDescent="0.25">
      <c r="A40">
        <v>1622</v>
      </c>
      <c r="C40" s="1">
        <f>'4- Gelderblom Import Suiker 17e'!BW47</f>
        <v>1198115.8764600002</v>
      </c>
      <c r="D40" s="11"/>
      <c r="V40" s="1">
        <f>'3- Gelderblom Suiker 17e e'!U128</f>
        <v>1444216.4842352611</v>
      </c>
    </row>
    <row r="41" spans="1:22" x14ac:dyDescent="0.25">
      <c r="A41">
        <v>1623</v>
      </c>
      <c r="C41" s="1">
        <f>'4- Gelderblom Import Suiker 17e'!BW48</f>
        <v>870480.84473999985</v>
      </c>
      <c r="D41" s="11"/>
      <c r="V41" s="1">
        <f>'3- Gelderblom Suiker 17e e'!U129</f>
        <v>1474762.895665427</v>
      </c>
    </row>
    <row r="42" spans="1:22" x14ac:dyDescent="0.25">
      <c r="A42">
        <v>1624</v>
      </c>
      <c r="C42" s="1">
        <f>'4- Gelderblom Import Suiker 17e'!BW49</f>
        <v>1653143.1210599998</v>
      </c>
      <c r="D42" s="11"/>
      <c r="V42" s="1">
        <f>'3- Gelderblom Suiker 17e e'!U130</f>
        <v>1606994.6770831693</v>
      </c>
    </row>
    <row r="43" spans="1:22" x14ac:dyDescent="0.25">
      <c r="A43">
        <v>1625</v>
      </c>
      <c r="C43" s="1">
        <f>'4- Gelderblom Import Suiker 17e'!BW50</f>
        <v>498104.97534</v>
      </c>
      <c r="D43" s="11"/>
      <c r="V43" s="1">
        <f>'3- Gelderblom Suiker 17e e'!U131</f>
        <v>1849232.9332712446</v>
      </c>
    </row>
    <row r="44" spans="1:22" x14ac:dyDescent="0.25">
      <c r="A44">
        <v>1626</v>
      </c>
      <c r="C44" s="1">
        <f>'4- Gelderblom Import Suiker 17e'!BW51</f>
        <v>426405.10499000002</v>
      </c>
      <c r="D44" s="11"/>
      <c r="V44" s="1">
        <f>'3- Gelderblom Suiker 17e e'!U132</f>
        <v>2077303.7300896028</v>
      </c>
    </row>
    <row r="45" spans="1:22" x14ac:dyDescent="0.25">
      <c r="A45">
        <v>1627</v>
      </c>
      <c r="C45" s="1">
        <f>'4- Gelderblom Import Suiker 17e'!BW52</f>
        <v>142260.36916</v>
      </c>
      <c r="D45" s="11"/>
      <c r="V45" s="1">
        <f>'3- Gelderblom Suiker 17e e'!U133</f>
        <v>2225322.6606449732</v>
      </c>
    </row>
    <row r="46" spans="1:22" x14ac:dyDescent="0.25">
      <c r="A46">
        <v>1628</v>
      </c>
      <c r="C46" s="1">
        <f>'4- Gelderblom Import Suiker 17e'!BW53</f>
        <v>128508.85627999999</v>
      </c>
      <c r="D46" s="11"/>
      <c r="V46" s="1">
        <f>'3- Gelderblom Suiker 17e e'!U134</f>
        <v>2418081.7260014345</v>
      </c>
    </row>
    <row r="47" spans="1:22" x14ac:dyDescent="0.25">
      <c r="A47">
        <v>1629</v>
      </c>
      <c r="C47" s="1">
        <f>'4- Gelderblom Import Suiker 17e'!BW54</f>
        <v>132216.50764</v>
      </c>
      <c r="D47" s="11"/>
      <c r="V47" s="1">
        <f>'3- Gelderblom Suiker 17e e'!U135</f>
        <v>2765411.5008105021</v>
      </c>
    </row>
    <row r="48" spans="1:22" x14ac:dyDescent="0.25">
      <c r="A48">
        <v>1630</v>
      </c>
      <c r="C48" s="1">
        <f>'4- Gelderblom Import Suiker 17e'!BW55</f>
        <v>32248.266119999997</v>
      </c>
      <c r="D48" s="11"/>
      <c r="V48" s="1">
        <f>'3- Gelderblom Suiker 17e e'!U136</f>
        <v>3076362.6060027876</v>
      </c>
    </row>
    <row r="49" spans="1:22" x14ac:dyDescent="0.25">
      <c r="A49">
        <v>1631</v>
      </c>
      <c r="C49" s="1">
        <f>'4- Gelderblom Import Suiker 17e'!BW56</f>
        <v>267263.16279999999</v>
      </c>
      <c r="D49" s="11"/>
      <c r="V49" s="1">
        <f>'3- Gelderblom Suiker 17e e'!U137</f>
        <v>3186919.3871563743</v>
      </c>
    </row>
    <row r="50" spans="1:22" x14ac:dyDescent="0.25">
      <c r="A50">
        <v>1632</v>
      </c>
      <c r="C50" s="1">
        <f>'4- Gelderblom Import Suiker 17e'!BW57</f>
        <v>319739.96761000005</v>
      </c>
      <c r="D50" s="11"/>
      <c r="V50" s="1">
        <f>'3- Gelderblom Suiker 17e e'!U138</f>
        <v>3223030.4302112949</v>
      </c>
    </row>
    <row r="51" spans="1:22" x14ac:dyDescent="0.25">
      <c r="A51">
        <v>1633</v>
      </c>
      <c r="C51" s="1">
        <f>'4- Gelderblom Import Suiker 17e'!BW58</f>
        <v>0</v>
      </c>
      <c r="D51" s="11"/>
      <c r="V51" s="1">
        <f>'3- Gelderblom Suiker 17e e'!U139</f>
        <v>3125522.6247933991</v>
      </c>
    </row>
    <row r="52" spans="1:22" x14ac:dyDescent="0.25">
      <c r="A52">
        <v>1634</v>
      </c>
      <c r="C52" s="1">
        <f>'4- Gelderblom Import Suiker 17e'!BW59</f>
        <v>1098173.82171</v>
      </c>
      <c r="D52" s="11"/>
      <c r="V52" s="1">
        <f>'3- Gelderblom Suiker 17e e'!U140</f>
        <v>3037521.9302689075</v>
      </c>
    </row>
    <row r="53" spans="1:22" x14ac:dyDescent="0.25">
      <c r="A53">
        <v>1635</v>
      </c>
      <c r="C53" s="1">
        <f>'4- Gelderblom Import Suiker 17e'!BW60</f>
        <v>1180810.8683</v>
      </c>
      <c r="D53" s="11"/>
      <c r="V53" s="1">
        <f>'3- Gelderblom Suiker 17e e'!U141</f>
        <v>3058553.4171791668</v>
      </c>
    </row>
    <row r="54" spans="1:22" x14ac:dyDescent="0.25">
      <c r="A54">
        <v>1636</v>
      </c>
      <c r="C54" s="1">
        <f>'4- Gelderblom Import Suiker 17e'!BW61</f>
        <v>1995034.6256399998</v>
      </c>
      <c r="D54" s="11"/>
      <c r="V54" s="1">
        <f>'3- Gelderblom Suiker 17e e'!U142</f>
        <v>2325770.4960021079</v>
      </c>
    </row>
    <row r="55" spans="1:22" x14ac:dyDescent="0.25">
      <c r="A55">
        <v>1637</v>
      </c>
      <c r="C55" s="1">
        <f>'4- Gelderblom Import Suiker 17e'!BW62</f>
        <v>1486983.12451</v>
      </c>
      <c r="D55" s="11"/>
      <c r="V55" s="1">
        <f>'3- Gelderblom Suiker 17e e'!U143</f>
        <v>2395593.0439983141</v>
      </c>
    </row>
    <row r="56" spans="1:22" x14ac:dyDescent="0.25">
      <c r="A56">
        <v>1638</v>
      </c>
      <c r="C56" s="1">
        <f>'4- Gelderblom Import Suiker 17e'!BW63</f>
        <v>3679402.2583399997</v>
      </c>
      <c r="D56" s="11"/>
      <c r="V56" s="1">
        <f>'3- Gelderblom Suiker 17e e'!U144</f>
        <v>4751074.9880020861</v>
      </c>
    </row>
    <row r="57" spans="1:22" x14ac:dyDescent="0.25">
      <c r="A57">
        <v>1639</v>
      </c>
      <c r="C57" s="1">
        <f>'4- Gelderblom Import Suiker 17e'!BW64</f>
        <v>5290948.9304799996</v>
      </c>
      <c r="D57" s="11"/>
      <c r="V57" s="1">
        <f>'3- Gelderblom Suiker 17e e'!U145</f>
        <v>5815368.4972142717</v>
      </c>
    </row>
    <row r="58" spans="1:22" x14ac:dyDescent="0.25">
      <c r="A58">
        <v>1640</v>
      </c>
      <c r="C58" s="1">
        <f>'4- Gelderblom Import Suiker 17e'!BW65</f>
        <v>4420157.7972200001</v>
      </c>
      <c r="D58" s="11"/>
      <c r="V58" s="1">
        <f>'3- Gelderblom Suiker 17e e'!U146</f>
        <v>4759302.8559993394</v>
      </c>
    </row>
    <row r="59" spans="1:22" x14ac:dyDescent="0.25">
      <c r="A59">
        <v>1641</v>
      </c>
      <c r="C59" s="1">
        <f>'4- Gelderblom Import Suiker 17e'!BW66</f>
        <v>7211216.375049999</v>
      </c>
      <c r="D59" s="11"/>
      <c r="V59" s="1">
        <f>'3- Gelderblom Suiker 17e e'!U147</f>
        <v>6874219.0950004645</v>
      </c>
    </row>
    <row r="60" spans="1:22" x14ac:dyDescent="0.25">
      <c r="A60">
        <v>1642</v>
      </c>
      <c r="C60" s="1">
        <f>'4- Gelderblom Import Suiker 17e'!BW67</f>
        <v>5106199.7858600002</v>
      </c>
      <c r="D60" s="11"/>
      <c r="V60" s="1">
        <f>'3- Gelderblom Suiker 17e e'!U148</f>
        <v>4381850.8960001897</v>
      </c>
    </row>
    <row r="61" spans="1:22" x14ac:dyDescent="0.25">
      <c r="A61">
        <v>1643</v>
      </c>
      <c r="C61" s="1">
        <f>'4- Gelderblom Import Suiker 17e'!BW68</f>
        <v>4050761.2905199998</v>
      </c>
      <c r="D61" s="11"/>
      <c r="V61" s="1">
        <f>'3- Gelderblom Suiker 17e e'!U149</f>
        <v>3287569.6279995879</v>
      </c>
    </row>
    <row r="62" spans="1:22" x14ac:dyDescent="0.25">
      <c r="A62">
        <v>1644</v>
      </c>
      <c r="C62" s="1">
        <f>'4- Gelderblom Import Suiker 17e'!BW69</f>
        <v>3488073.3171900003</v>
      </c>
      <c r="D62" s="11"/>
      <c r="V62" s="1">
        <f>'3- Gelderblom Suiker 17e e'!U150</f>
        <v>2617500.7236314751</v>
      </c>
    </row>
    <row r="63" spans="1:22" x14ac:dyDescent="0.25">
      <c r="A63">
        <v>1645</v>
      </c>
      <c r="C63" s="1">
        <f>'4- Gelderblom Import Suiker 17e'!BW70</f>
        <v>4205657.5173399998</v>
      </c>
      <c r="D63" s="11"/>
      <c r="V63" s="1">
        <f>'3- Gelderblom Suiker 17e e'!U151</f>
        <v>3736735.5140013965</v>
      </c>
    </row>
    <row r="64" spans="1:22" x14ac:dyDescent="0.25">
      <c r="A64">
        <v>1646</v>
      </c>
      <c r="C64" s="1">
        <f>'4- Gelderblom Import Suiker 17e'!BW71</f>
        <v>1046256.32678</v>
      </c>
      <c r="D64" s="11"/>
      <c r="V64" s="1">
        <f>'3- Gelderblom Suiker 17e e'!U152</f>
        <v>3182026.0212544296</v>
      </c>
    </row>
    <row r="65" spans="1:22" x14ac:dyDescent="0.25">
      <c r="A65">
        <v>1647</v>
      </c>
      <c r="C65" s="1">
        <f>'4- Gelderblom Import Suiker 17e'!BW72</f>
        <v>2565111.7149199997</v>
      </c>
      <c r="D65" s="11"/>
      <c r="V65" s="1">
        <f>'3- Gelderblom Suiker 17e e'!U153</f>
        <v>3108484.4044761732</v>
      </c>
    </row>
    <row r="66" spans="1:22" x14ac:dyDescent="0.25">
      <c r="A66">
        <v>1648</v>
      </c>
      <c r="C66" s="1">
        <f>'4- Gelderblom Import Suiker 17e'!BW73</f>
        <v>790597.85580999998</v>
      </c>
      <c r="D66" s="11"/>
      <c r="V66" s="1">
        <f>'3- Gelderblom Suiker 17e e'!U154</f>
        <v>2801591.7886266597</v>
      </c>
    </row>
    <row r="67" spans="1:22" x14ac:dyDescent="0.25">
      <c r="A67">
        <v>1649</v>
      </c>
      <c r="C67" s="1">
        <f>'4- Gelderblom Import Suiker 17e'!BW74</f>
        <v>832175.52931000001</v>
      </c>
      <c r="D67" s="11"/>
      <c r="V67" s="1">
        <f>'3- Gelderblom Suiker 17e e'!U155</f>
        <v>3159876.0507078408</v>
      </c>
    </row>
    <row r="68" spans="1:22" x14ac:dyDescent="0.25">
      <c r="A68">
        <v>1650</v>
      </c>
      <c r="C68" s="1">
        <f>'4- Gelderblom Import Suiker 17e'!BW75</f>
        <v>218910.52721999999</v>
      </c>
      <c r="D68" s="11"/>
      <c r="V68" s="1">
        <f>'3- Gelderblom Suiker 17e e'!U156</f>
        <v>3155801.574612821</v>
      </c>
    </row>
    <row r="69" spans="1:22" x14ac:dyDescent="0.25">
      <c r="A69">
        <v>1651</v>
      </c>
      <c r="C69" s="1">
        <f>'4- Gelderblom Import Suiker 17e'!BW76</f>
        <v>49043.373399999997</v>
      </c>
      <c r="D69" s="11"/>
      <c r="V69" s="1">
        <f>'3- Gelderblom Suiker 17e e'!U157</f>
        <v>3775691.1696241456</v>
      </c>
    </row>
    <row r="70" spans="1:22" x14ac:dyDescent="0.25">
      <c r="A70">
        <v>1652</v>
      </c>
      <c r="C70" s="1">
        <f>'4- Gelderblom Import Suiker 17e'!BW77</f>
        <v>466962.97672999999</v>
      </c>
      <c r="D70" s="11"/>
      <c r="V70" s="1">
        <f>'3- Gelderblom Suiker 17e e'!U158</f>
        <v>3891472.2014211835</v>
      </c>
    </row>
    <row r="71" spans="1:22" x14ac:dyDescent="0.25">
      <c r="A71">
        <v>1653</v>
      </c>
      <c r="C71" s="1">
        <f>'4- Gelderblom Import Suiker 17e'!BW78</f>
        <v>0</v>
      </c>
      <c r="D71" s="11"/>
      <c r="V71" s="1">
        <f>'3- Gelderblom Suiker 17e e'!U159</f>
        <v>4095882.0761400545</v>
      </c>
    </row>
    <row r="72" spans="1:22" x14ac:dyDescent="0.25">
      <c r="A72">
        <v>1654</v>
      </c>
      <c r="C72" s="1">
        <f>'4- Gelderblom Import Suiker 17e'!BW79</f>
        <v>1110000.35995</v>
      </c>
      <c r="D72" s="11"/>
      <c r="V72" s="1">
        <f>'3- Gelderblom Suiker 17e e'!U160</f>
        <v>4561567.7305752775</v>
      </c>
    </row>
    <row r="73" spans="1:22" x14ac:dyDescent="0.25">
      <c r="A73">
        <v>1655</v>
      </c>
      <c r="C73" s="1">
        <f>'4- Gelderblom Import Suiker 17e'!BW80</f>
        <v>1588331.3594</v>
      </c>
      <c r="D73" s="11"/>
      <c r="V73" s="1">
        <f>'3- Gelderblom Suiker 17e e'!U161</f>
        <v>4957342.3266643239</v>
      </c>
    </row>
    <row r="74" spans="1:22" x14ac:dyDescent="0.25">
      <c r="A74">
        <v>1656</v>
      </c>
      <c r="C74" s="1">
        <f>'4- Gelderblom Import Suiker 17e'!BW81</f>
        <v>0</v>
      </c>
      <c r="D74" s="11"/>
      <c r="V74" s="1">
        <f>'3- Gelderblom Suiker 17e e'!U162</f>
        <v>5196643.833901207</v>
      </c>
    </row>
    <row r="75" spans="1:22" x14ac:dyDescent="0.25">
      <c r="A75">
        <v>1657</v>
      </c>
      <c r="C75" s="1">
        <f>'4- Gelderblom Import Suiker 17e'!BW82</f>
        <v>678940.92715999996</v>
      </c>
      <c r="D75" s="11"/>
      <c r="V75" s="1">
        <f>'3- Gelderblom Suiker 17e e'!U163</f>
        <v>5288243.6766267903</v>
      </c>
    </row>
    <row r="76" spans="1:22" x14ac:dyDescent="0.25">
      <c r="A76">
        <v>1658</v>
      </c>
      <c r="C76" s="1">
        <f>'4- Gelderblom Import Suiker 17e'!BW83</f>
        <v>1455283.2982899998</v>
      </c>
      <c r="D76" s="11"/>
      <c r="V76" s="1">
        <f>'3- Gelderblom Suiker 17e e'!U164</f>
        <v>5250291.8290033778</v>
      </c>
    </row>
    <row r="77" spans="1:22" x14ac:dyDescent="0.25">
      <c r="A77">
        <v>1659</v>
      </c>
      <c r="C77" s="1">
        <f>'4- Gelderblom Import Suiker 17e'!BW84</f>
        <v>372432.68974999996</v>
      </c>
      <c r="D77" s="11"/>
      <c r="V77" s="1">
        <f>'3- Gelderblom Suiker 17e e'!U165</f>
        <v>5110316.8150147134</v>
      </c>
    </row>
    <row r="78" spans="1:22" x14ac:dyDescent="0.25">
      <c r="A78">
        <v>1660</v>
      </c>
      <c r="C78" s="1">
        <f>'4- Gelderblom Import Suiker 17e'!BW85</f>
        <v>387368.53635999997</v>
      </c>
      <c r="D78" s="11"/>
      <c r="V78" s="1">
        <f>'3- Gelderblom Suiker 17e e'!U166</f>
        <v>4905225.7084659841</v>
      </c>
    </row>
    <row r="79" spans="1:22" x14ac:dyDescent="0.25">
      <c r="A79">
        <v>1661</v>
      </c>
      <c r="C79" s="1">
        <f>'4- Gelderblom Import Suiker 17e'!BW86</f>
        <v>337367.61653999996</v>
      </c>
      <c r="D79" s="11"/>
      <c r="V79" s="1">
        <f>'3- Gelderblom Suiker 17e e'!U167</f>
        <v>4953760.987284462</v>
      </c>
    </row>
    <row r="80" spans="1:22" x14ac:dyDescent="0.25">
      <c r="A80">
        <v>1662</v>
      </c>
      <c r="C80" s="1">
        <f>'4- Gelderblom Import Suiker 17e'!BW87</f>
        <v>230152.55698999998</v>
      </c>
      <c r="D80" s="11"/>
      <c r="V80" s="1">
        <f>'3- Gelderblom Suiker 17e e'!U168</f>
        <v>4539612.3858750369</v>
      </c>
    </row>
    <row r="81" spans="1:22" x14ac:dyDescent="0.25">
      <c r="A81">
        <v>1663</v>
      </c>
      <c r="C81" s="1">
        <f>'4- Gelderblom Import Suiker 17e'!BW88</f>
        <v>74618.954069999992</v>
      </c>
      <c r="D81" s="11"/>
      <c r="V81" s="1">
        <f>'3- Gelderblom Suiker 17e e'!U169</f>
        <v>4259908.037519712</v>
      </c>
    </row>
    <row r="82" spans="1:22" x14ac:dyDescent="0.25">
      <c r="A82">
        <v>1664</v>
      </c>
      <c r="C82" s="1">
        <f>'4- Gelderblom Import Suiker 17e'!BW89</f>
        <v>106184.38781</v>
      </c>
      <c r="D82" s="11"/>
      <c r="V82" s="1">
        <f>'3- Gelderblom Suiker 17e e'!U170</f>
        <v>4166750.9967820505</v>
      </c>
    </row>
    <row r="83" spans="1:22" x14ac:dyDescent="0.25">
      <c r="A83">
        <v>1665</v>
      </c>
      <c r="C83" s="1">
        <f>'4- Gelderblom Import Suiker 17e'!BW90</f>
        <v>0</v>
      </c>
      <c r="D83" s="11"/>
      <c r="V83" s="1">
        <f>'3- Gelderblom Suiker 17e e'!U171</f>
        <v>4246442.9557367349</v>
      </c>
    </row>
    <row r="84" spans="1:22" x14ac:dyDescent="0.25">
      <c r="A84">
        <v>1666</v>
      </c>
      <c r="C84" s="1">
        <f>'4- Gelderblom Import Suiker 17e'!BW91</f>
        <v>226769.02867</v>
      </c>
      <c r="D84" s="11"/>
      <c r="V84" s="1">
        <f>'3- Gelderblom Suiker 17e e'!U172</f>
        <v>4008155.1206437787</v>
      </c>
    </row>
    <row r="85" spans="1:22" x14ac:dyDescent="0.25">
      <c r="A85">
        <v>1667</v>
      </c>
      <c r="C85" s="1">
        <f>'4- Gelderblom Import Suiker 17e'!BW92</f>
        <v>135022.93883999999</v>
      </c>
      <c r="D85" s="11"/>
      <c r="V85" s="1">
        <f>'3- Gelderblom Suiker 17e e'!U173</f>
        <v>3665987.8138257111</v>
      </c>
    </row>
    <row r="86" spans="1:22" x14ac:dyDescent="0.25">
      <c r="A86">
        <v>1668</v>
      </c>
      <c r="C86" s="1">
        <f>'4- Gelderblom Import Suiker 17e'!BW93</f>
        <v>251446.84780999998</v>
      </c>
      <c r="D86" s="11"/>
      <c r="V86" s="1">
        <f>'3- Gelderblom Suiker 17e e'!U174</f>
        <v>3233174.9382414701</v>
      </c>
    </row>
    <row r="87" spans="1:22" x14ac:dyDescent="0.25">
      <c r="A87">
        <v>1669</v>
      </c>
      <c r="C87" s="1">
        <f>'4- Gelderblom Import Suiker 17e'!BW94</f>
        <v>522145.41837999999</v>
      </c>
      <c r="D87" s="11"/>
      <c r="V87" s="1">
        <f>'3- Gelderblom Suiker 17e e'!U175</f>
        <v>2843611.487785554</v>
      </c>
    </row>
    <row r="88" spans="1:22" x14ac:dyDescent="0.25">
      <c r="A88">
        <v>1670</v>
      </c>
      <c r="C88" s="1">
        <f>'4- Gelderblom Import Suiker 17e'!BW95</f>
        <v>798614.46606000001</v>
      </c>
      <c r="D88" s="11"/>
      <c r="V88" s="1">
        <f>'3- Gelderblom Suiker 17e e'!U176</f>
        <v>2425320.4989717151</v>
      </c>
    </row>
    <row r="89" spans="1:22" x14ac:dyDescent="0.25">
      <c r="A89">
        <v>1671</v>
      </c>
      <c r="C89" s="1">
        <f>'4- Gelderblom Import Suiker 17e'!BW96</f>
        <v>645635.30843999994</v>
      </c>
      <c r="D89" s="11"/>
      <c r="V89" s="1">
        <f>'3- Gelderblom Suiker 17e e'!U177</f>
        <v>2217657.4222699413</v>
      </c>
    </row>
    <row r="90" spans="1:22" x14ac:dyDescent="0.25">
      <c r="A90">
        <v>1672</v>
      </c>
      <c r="C90" s="1">
        <f>'4- Gelderblom Import Suiker 17e'!BW97</f>
        <v>632718.80765999993</v>
      </c>
      <c r="D90" s="11"/>
      <c r="V90" s="1">
        <f>'3- Gelderblom Suiker 17e e'!U178</f>
        <v>2297663.1865571896</v>
      </c>
    </row>
    <row r="91" spans="1:22" x14ac:dyDescent="0.25">
      <c r="A91">
        <v>1673</v>
      </c>
      <c r="C91" s="1">
        <f>'4- Gelderblom Import Suiker 17e'!BW98</f>
        <v>0</v>
      </c>
      <c r="D91" s="11"/>
      <c r="V91" s="1">
        <f>'3- Gelderblom Suiker 17e e'!U179</f>
        <v>2191497.0785232447</v>
      </c>
    </row>
    <row r="92" spans="1:22" x14ac:dyDescent="0.25">
      <c r="A92">
        <v>1674</v>
      </c>
      <c r="C92" s="1">
        <f>'4- Gelderblom Import Suiker 17e'!BW99</f>
        <v>160522.42965000001</v>
      </c>
      <c r="D92" s="11"/>
      <c r="V92" s="1">
        <f>'3- Gelderblom Suiker 17e e'!U180</f>
        <v>1958527.1952945623</v>
      </c>
    </row>
    <row r="93" spans="1:22" x14ac:dyDescent="0.25">
      <c r="A93">
        <v>1675</v>
      </c>
      <c r="C93" s="1">
        <f>'4- Gelderblom Import Suiker 17e'!BW100</f>
        <v>343018.52386999998</v>
      </c>
      <c r="D93" s="11"/>
      <c r="V93" s="1">
        <f>'3- Gelderblom Suiker 17e e'!U181</f>
        <v>1781674.7805211996</v>
      </c>
    </row>
    <row r="94" spans="1:22" x14ac:dyDescent="0.25">
      <c r="A94">
        <v>1676</v>
      </c>
      <c r="C94" s="1">
        <f>'4- Gelderblom Import Suiker 17e'!BW101</f>
        <v>270970.81416000001</v>
      </c>
      <c r="D94" s="11"/>
      <c r="V94" s="1">
        <f>'3- Gelderblom Suiker 17e e'!U182</f>
        <v>1699472.378903199</v>
      </c>
    </row>
    <row r="95" spans="1:22" x14ac:dyDescent="0.25">
      <c r="A95">
        <v>1677</v>
      </c>
      <c r="C95" s="1">
        <f>'4- Gelderblom Import Suiker 17e'!BW102</f>
        <v>0</v>
      </c>
      <c r="D95" s="11"/>
      <c r="V95" s="1">
        <f>'3- Gelderblom Suiker 17e e'!U183</f>
        <v>1610952.5164366034</v>
      </c>
    </row>
    <row r="96" spans="1:22" x14ac:dyDescent="0.25">
      <c r="A96">
        <v>1678</v>
      </c>
      <c r="C96" s="1">
        <f>'4- Gelderblom Import Suiker 17e'!BW103</f>
        <v>0</v>
      </c>
      <c r="D96" s="11"/>
      <c r="V96" s="1">
        <f>'3- Gelderblom Suiker 17e e'!U184</f>
        <v>1528188.2750895564</v>
      </c>
    </row>
    <row r="97" spans="1:25" x14ac:dyDescent="0.25">
      <c r="A97">
        <v>1679</v>
      </c>
      <c r="C97" s="1">
        <f>'4- Gelderblom Import Suiker 17e'!BW104</f>
        <v>0</v>
      </c>
      <c r="D97" s="11"/>
      <c r="V97" s="1">
        <f>'3- Gelderblom Suiker 17e e'!U185</f>
        <v>1452865.1740495751</v>
      </c>
    </row>
    <row r="98" spans="1:25" x14ac:dyDescent="0.25">
      <c r="A98">
        <v>1680</v>
      </c>
      <c r="C98" s="1">
        <f>'4- Gelderblom Import Suiker 17e'!BW105</f>
        <v>0</v>
      </c>
      <c r="D98" s="11"/>
      <c r="V98" s="1">
        <f>'3- Gelderblom Suiker 17e e'!U186</f>
        <v>1374849.3917549946</v>
      </c>
    </row>
    <row r="99" spans="1:25" x14ac:dyDescent="0.25">
      <c r="A99">
        <v>1681</v>
      </c>
      <c r="C99" s="1">
        <f>'4- Gelderblom Import Suiker 17e'!BW106</f>
        <v>849834.79999999993</v>
      </c>
      <c r="D99" s="11"/>
      <c r="V99" s="1">
        <f>'3- Gelderblom Suiker 17e e'!U187</f>
        <v>1287487.6085611889</v>
      </c>
    </row>
    <row r="100" spans="1:25" x14ac:dyDescent="0.25">
      <c r="A100">
        <v>1682</v>
      </c>
      <c r="C100" s="1">
        <f>'4- Gelderblom Import Suiker 17e'!BW107</f>
        <v>0</v>
      </c>
      <c r="D100" s="11"/>
      <c r="H100" s="1"/>
      <c r="V100" s="1">
        <f>'3- Gelderblom Suiker 17e e'!U188</f>
        <v>1244712.5017709082</v>
      </c>
    </row>
    <row r="101" spans="1:25" x14ac:dyDescent="0.25">
      <c r="A101">
        <v>1683</v>
      </c>
      <c r="C101" s="1">
        <f>'4- Gelderblom Import Suiker 17e'!BW108</f>
        <v>1940693.372215</v>
      </c>
      <c r="D101" s="11"/>
      <c r="F101" s="1">
        <f>'1- Export'!AB9</f>
        <v>2256620.2002499998</v>
      </c>
      <c r="G101" s="1">
        <f>'1- Export'!AC9</f>
        <v>2256620.2002499998</v>
      </c>
      <c r="H101" s="1">
        <f>'1- Export'!AD9</f>
        <v>2256620.2002499998</v>
      </c>
      <c r="I101" s="1"/>
      <c r="J101" s="1"/>
      <c r="K101" s="1"/>
      <c r="M101">
        <f>'2- Prijzen'!S9</f>
        <v>0.28334918739500903</v>
      </c>
      <c r="N101">
        <f>'2- Prijzen'!T9</f>
        <v>0.28334918739500903</v>
      </c>
      <c r="O101">
        <f>'2- Prijzen'!U9</f>
        <v>0.28334918739500903</v>
      </c>
      <c r="P101">
        <f>'2- Prijzen'!V9</f>
        <v>0.28334918739500903</v>
      </c>
      <c r="V101" s="1">
        <f>'3- Gelderblom Suiker 17e e'!U189</f>
        <v>687367.36250000377</v>
      </c>
      <c r="W101" s="1">
        <f>F101*M101</f>
        <v>639411.5</v>
      </c>
      <c r="X101" s="1">
        <f>G101*N101</f>
        <v>639411.5</v>
      </c>
      <c r="Y101" s="1">
        <f>H101*O101</f>
        <v>639411.5</v>
      </c>
    </row>
    <row r="102" spans="1:25" x14ac:dyDescent="0.25">
      <c r="A102">
        <v>1684</v>
      </c>
      <c r="C102" s="1">
        <f>'4- Gelderblom Import Suiker 17e'!BW109</f>
        <v>2272143.8163239998</v>
      </c>
      <c r="D102" s="11"/>
      <c r="F102" s="1">
        <f>'1- Export'!AB10</f>
        <v>2642027.6933999998</v>
      </c>
      <c r="G102" s="1">
        <f>'1- Export'!AC10</f>
        <v>2642027.6933999998</v>
      </c>
      <c r="H102" s="1">
        <f>'1- Export'!AD10</f>
        <v>2642027.6933999998</v>
      </c>
      <c r="I102" s="1"/>
      <c r="J102" s="1"/>
      <c r="K102" s="1"/>
      <c r="M102">
        <f>'2- Prijzen'!S10</f>
        <v>0.28334918739500903</v>
      </c>
      <c r="N102">
        <f>'2- Prijzen'!T10</f>
        <v>0.28334918739500903</v>
      </c>
      <c r="O102">
        <f>'2- Prijzen'!U10</f>
        <v>0.28334918739500903</v>
      </c>
      <c r="P102">
        <f>'2- Prijzen'!V10</f>
        <v>0.28334918739500908</v>
      </c>
      <c r="V102" s="1">
        <f>'3- Gelderblom Suiker 17e e'!U190</f>
        <v>1152324.8968679139</v>
      </c>
      <c r="W102" s="1">
        <f t="shared" ref="W102:W134" si="0">F102*M102</f>
        <v>748616.4</v>
      </c>
      <c r="X102" s="1">
        <f t="shared" ref="X102:X134" si="1">G102*N102</f>
        <v>748616.4</v>
      </c>
      <c r="Y102" s="1">
        <f t="shared" ref="Y102:Y134" si="2">H102*O102</f>
        <v>748616.4</v>
      </c>
    </row>
    <row r="103" spans="1:25" x14ac:dyDescent="0.25">
      <c r="A103">
        <v>1685</v>
      </c>
      <c r="C103" s="1">
        <f>'4- Gelderblom Import Suiker 17e'!BW110</f>
        <v>1407950.6324605998</v>
      </c>
      <c r="D103" s="11"/>
      <c r="F103" s="1">
        <f>'1- Export'!AB11</f>
        <v>1637151.89821</v>
      </c>
      <c r="G103" s="1">
        <f>'1- Export'!AC11</f>
        <v>1637151.89821</v>
      </c>
      <c r="H103" s="1">
        <f>'1- Export'!AD11</f>
        <v>1637151.89821</v>
      </c>
      <c r="I103" s="1"/>
      <c r="J103" s="1"/>
      <c r="K103" s="1"/>
      <c r="M103">
        <f>'2- Prijzen'!S11</f>
        <v>0.28334918739500903</v>
      </c>
      <c r="N103">
        <f>'2- Prijzen'!T11</f>
        <v>0.28334918739500903</v>
      </c>
      <c r="O103">
        <f>'2- Prijzen'!U11</f>
        <v>0.28334918739500903</v>
      </c>
      <c r="P103">
        <f>'2- Prijzen'!V11</f>
        <v>0.28334918739500908</v>
      </c>
      <c r="V103" s="1">
        <f>'3- Gelderblom Suiker 17e e'!U191</f>
        <v>706424.86634215701</v>
      </c>
      <c r="W103" s="1">
        <f t="shared" si="0"/>
        <v>463885.66000000003</v>
      </c>
      <c r="X103" s="1">
        <f t="shared" si="1"/>
        <v>463885.66000000003</v>
      </c>
      <c r="Y103" s="1">
        <f t="shared" si="2"/>
        <v>463885.66000000003</v>
      </c>
    </row>
    <row r="104" spans="1:25" x14ac:dyDescent="0.25">
      <c r="A104">
        <v>1686</v>
      </c>
      <c r="C104" s="1">
        <f>'4- Gelderblom Import Suiker 17e'!BW111</f>
        <v>1437095.7169265999</v>
      </c>
      <c r="D104" s="11"/>
      <c r="F104" s="1">
        <f>'1- Export'!AB12</f>
        <v>1671041.53131</v>
      </c>
      <c r="G104" s="1">
        <f>'1- Export'!AC12</f>
        <v>1671041.53131</v>
      </c>
      <c r="H104" s="1">
        <f>'1- Export'!AD12</f>
        <v>1671041.53131</v>
      </c>
      <c r="I104" s="1"/>
      <c r="J104" s="1"/>
      <c r="K104" s="1"/>
      <c r="M104">
        <f>'2- Prijzen'!S12</f>
        <v>0.28334918739500903</v>
      </c>
      <c r="N104">
        <f>'2- Prijzen'!T12</f>
        <v>0.28334918739500903</v>
      </c>
      <c r="O104">
        <f>'2- Prijzen'!U12</f>
        <v>0.28334918739500903</v>
      </c>
      <c r="P104">
        <f>'2- Prijzen'!V12</f>
        <v>0.2909388977716611</v>
      </c>
      <c r="V104" s="1">
        <f>'3- Gelderblom Suiker 17e e'!U192</f>
        <v>690785.55074997491</v>
      </c>
      <c r="W104" s="1">
        <f t="shared" si="0"/>
        <v>473488.26</v>
      </c>
      <c r="X104" s="1">
        <f t="shared" si="1"/>
        <v>473488.26</v>
      </c>
      <c r="Y104" s="1">
        <f t="shared" si="2"/>
        <v>473488.26</v>
      </c>
    </row>
    <row r="105" spans="1:25" x14ac:dyDescent="0.25">
      <c r="A105">
        <v>1687</v>
      </c>
      <c r="C105" s="1">
        <f>'4- Gelderblom Import Suiker 17e'!BW112</f>
        <v>2322761.6766816</v>
      </c>
      <c r="D105" s="11"/>
      <c r="F105" s="1">
        <f>'1- Export'!AB13</f>
        <v>2700885.67056</v>
      </c>
      <c r="G105" s="1">
        <f>'1- Export'!AC13</f>
        <v>2700885.67056</v>
      </c>
      <c r="H105" s="1">
        <f>'1- Export'!AD13</f>
        <v>2700885.67056</v>
      </c>
      <c r="I105" s="1"/>
      <c r="J105" s="1"/>
      <c r="K105" s="1"/>
      <c r="M105">
        <f>'2- Prijzen'!S13</f>
        <v>0.28334918739500903</v>
      </c>
      <c r="N105">
        <f>'2- Prijzen'!T13</f>
        <v>0.28334918739500903</v>
      </c>
      <c r="O105">
        <f>'2- Prijzen'!U13</f>
        <v>0.28334918739500903</v>
      </c>
      <c r="P105">
        <f>'2- Prijzen'!V13</f>
        <v>0.29684200584239046</v>
      </c>
      <c r="V105" s="1">
        <f>'3- Gelderblom Suiker 17e e'!U193</f>
        <v>1028962.1946417345</v>
      </c>
      <c r="W105" s="1">
        <f t="shared" si="0"/>
        <v>765293.76</v>
      </c>
      <c r="X105" s="1">
        <f t="shared" si="1"/>
        <v>765293.76</v>
      </c>
      <c r="Y105" s="1">
        <f t="shared" si="2"/>
        <v>765293.76</v>
      </c>
    </row>
    <row r="106" spans="1:25" x14ac:dyDescent="0.25">
      <c r="A106">
        <v>1688</v>
      </c>
      <c r="C106" s="1">
        <f>'4- Gelderblom Import Suiker 17e'!BW113</f>
        <v>3132554.9685188001</v>
      </c>
      <c r="D106" s="11"/>
      <c r="F106" s="1">
        <f>'1- Export'!AB14</f>
        <v>3627935.8675799998</v>
      </c>
      <c r="G106" s="1">
        <f>'1- Export'!AC14</f>
        <v>3627935.8675799998</v>
      </c>
      <c r="H106" s="1">
        <f>'1- Export'!AD14</f>
        <v>3627935.8675799998</v>
      </c>
      <c r="I106" s="1"/>
      <c r="J106" s="1"/>
      <c r="K106" s="1"/>
      <c r="M106">
        <f>'2- Prijzen'!S14</f>
        <v>0.28334918739500903</v>
      </c>
      <c r="N106">
        <f>'2- Prijzen'!T14</f>
        <v>0.28334918739500903</v>
      </c>
      <c r="O106">
        <f>'2- Prijzen'!U14</f>
        <v>0.28334918739500903</v>
      </c>
      <c r="P106">
        <f>'2- Prijzen'!V14</f>
        <v>0.30156449229897392</v>
      </c>
      <c r="V106" s="1">
        <f>'3- Gelderblom Suiker 17e e'!U194</f>
        <v>1373444.927100129</v>
      </c>
      <c r="W106" s="1">
        <f t="shared" si="0"/>
        <v>1027972.68</v>
      </c>
      <c r="X106" s="1">
        <f t="shared" si="1"/>
        <v>1027972.68</v>
      </c>
      <c r="Y106" s="1">
        <f t="shared" si="2"/>
        <v>1027972.68</v>
      </c>
    </row>
    <row r="107" spans="1:25" x14ac:dyDescent="0.25">
      <c r="A107">
        <v>1689</v>
      </c>
      <c r="C107" s="1">
        <f>'4- Gelderblom Import Suiker 17e'!BW114</f>
        <v>2686896.3422811995</v>
      </c>
      <c r="D107" s="11"/>
      <c r="F107" s="1">
        <f>'1- Export'!AB15</f>
        <v>3124298.0724199996</v>
      </c>
      <c r="G107" s="1">
        <f>'1- Export'!AC15</f>
        <v>3124298.0724199996</v>
      </c>
      <c r="H107" s="1">
        <f>'1- Export'!AD15</f>
        <v>3124298.0724199996</v>
      </c>
      <c r="I107" s="1"/>
      <c r="J107" s="1"/>
      <c r="K107" s="1"/>
      <c r="M107">
        <f>'2- Prijzen'!S15</f>
        <v>0.28334918739500903</v>
      </c>
      <c r="N107">
        <f>'2- Prijzen'!T15</f>
        <v>0.28334918739500903</v>
      </c>
      <c r="O107">
        <f>'2- Prijzen'!U15</f>
        <v>0.28334918739500903</v>
      </c>
      <c r="P107">
        <f>'2- Prijzen'!V15</f>
        <v>0.30763626060029553</v>
      </c>
      <c r="V107" s="1">
        <f>'3- Gelderblom Suiker 17e e'!U195</f>
        <v>1359517.6699999254</v>
      </c>
      <c r="W107" s="1">
        <f t="shared" si="0"/>
        <v>885267.32</v>
      </c>
      <c r="X107" s="1">
        <f t="shared" si="1"/>
        <v>885267.32</v>
      </c>
      <c r="Y107" s="1">
        <f t="shared" si="2"/>
        <v>885267.32</v>
      </c>
    </row>
    <row r="108" spans="1:25" x14ac:dyDescent="0.25">
      <c r="A108">
        <v>1690</v>
      </c>
      <c r="C108" s="1">
        <f>'4- Gelderblom Import Suiker 17e'!BW115</f>
        <v>1842324.9941149999</v>
      </c>
      <c r="D108" s="11"/>
      <c r="F108" s="1">
        <f>'1- Export'!AB16</f>
        <v>2142238.3652499998</v>
      </c>
      <c r="G108" s="1">
        <f>'1- Export'!AC16</f>
        <v>2142238.3652499998</v>
      </c>
      <c r="H108" s="1">
        <f>'1- Export'!AD16</f>
        <v>2142238.3652499998</v>
      </c>
      <c r="I108" s="1"/>
      <c r="J108" s="1"/>
      <c r="K108" s="1"/>
      <c r="M108">
        <f>'2- Prijzen'!S16</f>
        <v>0.34406687040822526</v>
      </c>
      <c r="N108">
        <f>'2- Prijzen'!T16</f>
        <v>0.34406687040822526</v>
      </c>
      <c r="O108">
        <f>'2- Prijzen'!U16</f>
        <v>0.34406687040822526</v>
      </c>
      <c r="P108">
        <f>'2- Prijzen'!V16</f>
        <v>0.31370802890161714</v>
      </c>
      <c r="V108" s="1">
        <f>'3- Gelderblom Suiker 17e e'!U196</f>
        <v>1051559.8594225822</v>
      </c>
      <c r="W108" s="1">
        <f t="shared" si="0"/>
        <v>737073.25</v>
      </c>
      <c r="X108" s="1">
        <f t="shared" si="1"/>
        <v>737073.25</v>
      </c>
      <c r="Y108" s="1">
        <f t="shared" si="2"/>
        <v>737073.25</v>
      </c>
    </row>
    <row r="109" spans="1:25" x14ac:dyDescent="0.25">
      <c r="A109">
        <v>1691</v>
      </c>
      <c r="C109" s="1">
        <f>'4- Gelderblom Import Suiker 17e'!BW116</f>
        <v>2273128.7748571998</v>
      </c>
      <c r="D109" s="11"/>
      <c r="F109" s="1">
        <f>'1- Export'!AB17</f>
        <v>2643172.9940199996</v>
      </c>
      <c r="G109" s="1">
        <f>'1- Export'!AC17</f>
        <v>2643172.9940199996</v>
      </c>
      <c r="H109" s="1">
        <f>'1- Export'!AD17</f>
        <v>2643172.9940199996</v>
      </c>
      <c r="I109" s="1"/>
      <c r="J109" s="1"/>
      <c r="K109" s="1"/>
      <c r="M109">
        <f>'2- Prijzen'!S17</f>
        <v>0.34406687040822526</v>
      </c>
      <c r="N109">
        <f>'2- Prijzen'!T17</f>
        <v>0.34406687040822526</v>
      </c>
      <c r="O109">
        <f>'2- Prijzen'!U17</f>
        <v>0.34406687040822526</v>
      </c>
      <c r="P109">
        <f>'2- Prijzen'!V17</f>
        <v>0.31977979720293881</v>
      </c>
      <c r="V109" s="1">
        <f>'3- Gelderblom Suiker 17e e'!U197</f>
        <v>1403194.3093999852</v>
      </c>
      <c r="W109" s="1">
        <f t="shared" si="0"/>
        <v>909428.26</v>
      </c>
      <c r="X109" s="1">
        <f t="shared" si="1"/>
        <v>909428.26</v>
      </c>
      <c r="Y109" s="1">
        <f t="shared" si="2"/>
        <v>909428.26</v>
      </c>
    </row>
    <row r="110" spans="1:25" x14ac:dyDescent="0.25">
      <c r="A110">
        <v>1692</v>
      </c>
      <c r="C110" s="1">
        <f>'4- Gelderblom Import Suiker 17e'!BW117</f>
        <v>1558700.1891919998</v>
      </c>
      <c r="D110" s="11"/>
      <c r="F110" s="1">
        <f>'1- Export'!AB18</f>
        <v>1812089.8976999999</v>
      </c>
      <c r="G110" s="1">
        <f>'1- Export'!AC18</f>
        <v>1812089.8976999999</v>
      </c>
      <c r="H110" s="1">
        <f>'1- Export'!AD18</f>
        <v>1812089.8976999999</v>
      </c>
      <c r="I110" s="1"/>
      <c r="J110" s="1"/>
      <c r="K110" s="1"/>
      <c r="M110">
        <f>'2- Prijzen'!S18</f>
        <v>0.34406687040822526</v>
      </c>
      <c r="N110">
        <f>'2- Prijzen'!T18</f>
        <v>0.34406687040822526</v>
      </c>
      <c r="O110">
        <f>'2- Prijzen'!U18</f>
        <v>0.34406687040822526</v>
      </c>
      <c r="P110">
        <f>'2- Prijzen'!V18</f>
        <v>0.32585156550426042</v>
      </c>
      <c r="V110" s="1">
        <f>'3- Gelderblom Suiker 17e e'!U198</f>
        <v>1019144.6255478628</v>
      </c>
      <c r="W110" s="1">
        <f t="shared" si="0"/>
        <v>623480.1</v>
      </c>
      <c r="X110" s="1">
        <f t="shared" si="1"/>
        <v>623480.1</v>
      </c>
      <c r="Y110" s="1">
        <f t="shared" si="2"/>
        <v>623480.1</v>
      </c>
    </row>
    <row r="111" spans="1:25" x14ac:dyDescent="0.25">
      <c r="A111">
        <v>1693</v>
      </c>
      <c r="C111" s="1">
        <f>'4- Gelderblom Import Suiker 17e'!BW118</f>
        <v>1751299.9792309999</v>
      </c>
      <c r="D111" s="11"/>
      <c r="F111" s="1">
        <f>'1- Export'!AB19</f>
        <v>2031730.1958499998</v>
      </c>
      <c r="G111" s="1">
        <f>'1- Export'!AC19</f>
        <v>2031730.1958499998</v>
      </c>
      <c r="H111" s="1">
        <f>'1- Export'!AD19</f>
        <v>2031730.1958499998</v>
      </c>
      <c r="I111" s="1"/>
      <c r="J111" s="1"/>
      <c r="K111" s="1"/>
      <c r="M111">
        <f>'2- Prijzen'!S19</f>
        <v>0.34406687040822526</v>
      </c>
      <c r="N111">
        <f>'2- Prijzen'!T19</f>
        <v>0.34406687040822526</v>
      </c>
      <c r="O111">
        <f>'2- Prijzen'!U19</f>
        <v>0.34406687040822526</v>
      </c>
      <c r="P111">
        <f>'2- Prijzen'!V19</f>
        <v>0.33192333380558203</v>
      </c>
      <c r="V111" s="1">
        <f>'3- Gelderblom Suiker 17e e'!U199</f>
        <v>1226418.1869072006</v>
      </c>
      <c r="W111" s="1">
        <f t="shared" si="0"/>
        <v>699051.05</v>
      </c>
      <c r="X111" s="1">
        <f t="shared" si="1"/>
        <v>699051.05</v>
      </c>
      <c r="Y111" s="1">
        <f t="shared" si="2"/>
        <v>699051.05</v>
      </c>
    </row>
    <row r="112" spans="1:25" x14ac:dyDescent="0.25">
      <c r="A112">
        <v>1694</v>
      </c>
      <c r="C112" s="1">
        <f>'4- Gelderblom Import Suiker 17e'!BW119</f>
        <v>3703629.1709459997</v>
      </c>
      <c r="D112" s="11"/>
      <c r="F112" s="1">
        <f>'1- Export'!AB20</f>
        <v>4248823.1960999994</v>
      </c>
      <c r="G112" s="1">
        <f>'1- Export'!AC20</f>
        <v>4248823.1960999994</v>
      </c>
      <c r="H112" s="1">
        <f>'1- Export'!AD20</f>
        <v>4248823.1960999994</v>
      </c>
      <c r="I112" s="1"/>
      <c r="J112" s="1"/>
      <c r="K112" s="1"/>
      <c r="M112">
        <f>'2- Prijzen'!S20</f>
        <v>0.34406687040822526</v>
      </c>
      <c r="N112">
        <f>'2- Prijzen'!T20</f>
        <v>0.34406687040822526</v>
      </c>
      <c r="O112">
        <f>'2- Prijzen'!U20</f>
        <v>0.34406687040822526</v>
      </c>
      <c r="P112">
        <f>'2- Prijzen'!V20</f>
        <v>0.33799510210690364</v>
      </c>
      <c r="V112" s="1">
        <f>'3- Gelderblom Suiker 17e e'!U200</f>
        <v>2773271.0249999911</v>
      </c>
      <c r="W112" s="1">
        <f t="shared" si="0"/>
        <v>1461879.2999999998</v>
      </c>
      <c r="X112" s="1">
        <f t="shared" si="1"/>
        <v>1461879.2999999998</v>
      </c>
      <c r="Y112" s="1">
        <f t="shared" si="2"/>
        <v>1461879.2999999998</v>
      </c>
    </row>
    <row r="113" spans="1:25" x14ac:dyDescent="0.25">
      <c r="A113">
        <v>1695</v>
      </c>
      <c r="C113" s="1">
        <f>'4- Gelderblom Import Suiker 17e'!BW120</f>
        <v>4826838.8294099998</v>
      </c>
      <c r="D113" s="11"/>
      <c r="F113" s="1">
        <f>'1- Export'!AB21</f>
        <v>5540749.9644999998</v>
      </c>
      <c r="G113" s="1">
        <f>'1- Export'!AC21</f>
        <v>5540749.9644999998</v>
      </c>
      <c r="H113" s="1">
        <f>'1- Export'!AD21</f>
        <v>5540749.9644999998</v>
      </c>
      <c r="I113" s="1"/>
      <c r="J113" s="1"/>
      <c r="K113" s="1"/>
      <c r="M113">
        <f>'2- Prijzen'!S21</f>
        <v>0.34406687040822526</v>
      </c>
      <c r="N113">
        <f>'2- Prijzen'!T21</f>
        <v>0.34406687040822526</v>
      </c>
      <c r="O113">
        <f>'2- Prijzen'!U21</f>
        <v>0.34406687040822526</v>
      </c>
      <c r="P113">
        <f>'2- Prijzen'!V21</f>
        <v>0.34406687040822526</v>
      </c>
      <c r="V113" s="1">
        <f>'3- Gelderblom Suiker 17e e'!U201</f>
        <v>3616531.1249999888</v>
      </c>
      <c r="W113" s="1">
        <f t="shared" si="0"/>
        <v>1906388.5</v>
      </c>
      <c r="X113" s="1">
        <f t="shared" si="1"/>
        <v>1906388.5</v>
      </c>
      <c r="Y113" s="1">
        <f t="shared" si="2"/>
        <v>1906388.5</v>
      </c>
    </row>
    <row r="114" spans="1:25" x14ac:dyDescent="0.25">
      <c r="A114">
        <v>1696</v>
      </c>
      <c r="C114" s="1">
        <f>'4- Gelderblom Import Suiker 17e'!BW121</f>
        <v>2834963.9093199996</v>
      </c>
      <c r="D114" s="11"/>
      <c r="F114" s="1">
        <f>'1- Export'!AB22</f>
        <v>3296469.662</v>
      </c>
      <c r="G114" s="1">
        <f>'1- Export'!AC22</f>
        <v>3296469.662</v>
      </c>
      <c r="H114" s="1">
        <f>'1- Export'!AD22</f>
        <v>3296469.662</v>
      </c>
      <c r="I114" s="1"/>
      <c r="J114" s="1"/>
      <c r="K114" s="1"/>
      <c r="M114">
        <f>'2- Prijzen'!S22</f>
        <v>0.34406687040822526</v>
      </c>
      <c r="N114">
        <f>'2- Prijzen'!T22</f>
        <v>0.34406687040822526</v>
      </c>
      <c r="O114">
        <f>'2- Prijzen'!U22</f>
        <v>0.34406687040822526</v>
      </c>
      <c r="P114">
        <f>'2- Prijzen'!V22</f>
        <v>0.3481147159424397</v>
      </c>
      <c r="V114" s="1">
        <f>'3- Gelderblom Suiker 17e e'!U202</f>
        <v>2151655.499999993</v>
      </c>
      <c r="W114" s="1">
        <f t="shared" si="0"/>
        <v>1134206</v>
      </c>
      <c r="X114" s="1">
        <f t="shared" si="1"/>
        <v>1134206</v>
      </c>
      <c r="Y114" s="1">
        <f t="shared" si="2"/>
        <v>1134206</v>
      </c>
    </row>
    <row r="115" spans="1:25" x14ac:dyDescent="0.25">
      <c r="A115">
        <v>1697</v>
      </c>
      <c r="C115" s="1">
        <f>'4- Gelderblom Import Suiker 17e'!BW122</f>
        <v>4211696.2853199998</v>
      </c>
      <c r="D115" s="11"/>
      <c r="F115" s="1">
        <f>'1- Export'!AB23</f>
        <v>4897321.2620000001</v>
      </c>
      <c r="G115" s="1">
        <f>'1- Export'!AC23</f>
        <v>4897321.2620000001</v>
      </c>
      <c r="H115" s="1">
        <f>'1- Export'!AD23</f>
        <v>4897321.2620000001</v>
      </c>
      <c r="I115" s="1"/>
      <c r="J115" s="1"/>
      <c r="K115" s="1"/>
      <c r="M115">
        <f>'2- Prijzen'!S23</f>
        <v>0.34406687040822526</v>
      </c>
      <c r="N115">
        <f>'2- Prijzen'!T23</f>
        <v>0.34406687040822526</v>
      </c>
      <c r="O115">
        <f>'2- Prijzen'!U23</f>
        <v>0.34406687040822526</v>
      </c>
      <c r="P115">
        <f>'2- Prijzen'!V23</f>
        <v>0.35216256147665409</v>
      </c>
      <c r="V115" s="1">
        <f>'3- Gelderblom Suiker 17e e'!U203</f>
        <v>3196555.4999999898</v>
      </c>
      <c r="W115" s="1">
        <f t="shared" si="0"/>
        <v>1685006.0000000002</v>
      </c>
      <c r="X115" s="1">
        <f t="shared" si="1"/>
        <v>1685006.0000000002</v>
      </c>
      <c r="Y115" s="1">
        <f t="shared" si="2"/>
        <v>1685006.0000000002</v>
      </c>
    </row>
    <row r="116" spans="1:25" x14ac:dyDescent="0.25">
      <c r="A116">
        <v>1698</v>
      </c>
      <c r="C116" s="1">
        <f>'4- Gelderblom Import Suiker 17e'!BW123</f>
        <v>1971124.6717689999</v>
      </c>
      <c r="D116" s="11"/>
      <c r="F116" s="1">
        <f>'1- Export'!AB24</f>
        <v>2252165.9789</v>
      </c>
      <c r="G116" s="1">
        <f>'1- Export'!AC24</f>
        <v>2252165.9789</v>
      </c>
      <c r="H116" s="1">
        <f>'1- Export'!AD24</f>
        <v>2252165.9789</v>
      </c>
      <c r="I116" s="1"/>
      <c r="J116" s="1"/>
      <c r="K116" s="1"/>
      <c r="M116">
        <f>'2- Prijzen'!S24</f>
        <v>0.34406687040822526</v>
      </c>
      <c r="N116">
        <f>'2- Prijzen'!T24</f>
        <v>0.34406687040822526</v>
      </c>
      <c r="O116">
        <f>'2- Prijzen'!U24</f>
        <v>0.34406687040822526</v>
      </c>
      <c r="P116">
        <f>'2- Prijzen'!V24</f>
        <v>0.35621040701086853</v>
      </c>
      <c r="V116" s="1">
        <f>'3- Gelderblom Suiker 17e e'!U204</f>
        <v>1470022.7249999957</v>
      </c>
      <c r="W116" s="1">
        <f t="shared" si="0"/>
        <v>774895.70000000007</v>
      </c>
      <c r="X116" s="1">
        <f t="shared" si="1"/>
        <v>774895.70000000007</v>
      </c>
      <c r="Y116" s="1">
        <f t="shared" si="2"/>
        <v>774895.70000000007</v>
      </c>
    </row>
    <row r="117" spans="1:25" x14ac:dyDescent="0.25">
      <c r="A117">
        <v>1699</v>
      </c>
      <c r="C117" s="1">
        <f>'4- Gelderblom Import Suiker 17e'!BW124</f>
        <v>2906658.9375880002</v>
      </c>
      <c r="D117" s="11"/>
      <c r="F117" s="1">
        <f>'1- Export'!AB25</f>
        <v>3339996.52055</v>
      </c>
      <c r="G117" s="1">
        <f>'1- Export'!AC25</f>
        <v>3339996.52055</v>
      </c>
      <c r="H117" s="1">
        <f>'1- Export'!AD25</f>
        <v>3339996.52055</v>
      </c>
      <c r="I117" s="1"/>
      <c r="J117" s="1"/>
      <c r="K117" s="1"/>
      <c r="M117">
        <f>'2- Prijzen'!S25</f>
        <v>0.34406687040822526</v>
      </c>
      <c r="N117">
        <f>'2- Prijzen'!T25</f>
        <v>0.34406687040822526</v>
      </c>
      <c r="O117">
        <f>'2- Prijzen'!U25</f>
        <v>0.34406687040822526</v>
      </c>
      <c r="P117">
        <f>'2- Prijzen'!V25</f>
        <v>0.36025825254508292</v>
      </c>
      <c r="V117" s="1">
        <f>'3- Gelderblom Suiker 17e e'!U205</f>
        <v>2180066.1374999927</v>
      </c>
      <c r="W117" s="1">
        <f t="shared" si="0"/>
        <v>1149182.1500000001</v>
      </c>
      <c r="X117" s="1">
        <f t="shared" si="1"/>
        <v>1149182.1500000001</v>
      </c>
      <c r="Y117" s="1">
        <f t="shared" si="2"/>
        <v>1149182.1500000001</v>
      </c>
    </row>
    <row r="118" spans="1:25" x14ac:dyDescent="0.25">
      <c r="A118">
        <v>1700</v>
      </c>
      <c r="C118" s="1">
        <f>'4- Gelderblom Import Suiker 17e'!BW125</f>
        <v>2855073.8861735999</v>
      </c>
      <c r="D118" s="11"/>
      <c r="F118" s="1">
        <f>'1- Export'!AB26</f>
        <v>3256603.5162599999</v>
      </c>
      <c r="G118" s="1">
        <f>'1- Export'!AC26</f>
        <v>4150356</v>
      </c>
      <c r="H118" s="1">
        <f>'1- Export'!AD26</f>
        <v>3623986.5054199998</v>
      </c>
      <c r="I118" s="1"/>
      <c r="J118" s="1"/>
      <c r="K118" s="1"/>
      <c r="M118">
        <f>'2- Prijzen'!S26</f>
        <v>0.38454532575036937</v>
      </c>
      <c r="N118">
        <f>'2- Prijzen'!T26</f>
        <v>0.38454532575036937</v>
      </c>
      <c r="O118">
        <f>'2- Prijzen'!U26</f>
        <v>0.38454532575036937</v>
      </c>
      <c r="P118">
        <f>'2- Prijzen'!V26</f>
        <v>0.36430609807929737</v>
      </c>
      <c r="V118" s="1">
        <f>'3- Gelderblom Suiker 17e e'!U206</f>
        <v>2125634.2649999936</v>
      </c>
      <c r="W118" s="1">
        <f t="shared" si="0"/>
        <v>1252311.6599999999</v>
      </c>
      <c r="X118" s="1">
        <f t="shared" si="1"/>
        <v>1596000</v>
      </c>
      <c r="Y118" s="1">
        <f t="shared" si="2"/>
        <v>1393587.0712416766</v>
      </c>
    </row>
    <row r="119" spans="1:25" x14ac:dyDescent="0.25">
      <c r="A119" s="4">
        <v>1701</v>
      </c>
      <c r="D119" s="11"/>
      <c r="F119" s="1">
        <f>'1- Export'!AB27</f>
        <v>3481000</v>
      </c>
      <c r="G119" s="1">
        <f>'1- Export'!AC27</f>
        <v>4506982.2565599997</v>
      </c>
      <c r="H119" s="1">
        <f>'1- Export'!AD27</f>
        <v>4108143.3161399998</v>
      </c>
      <c r="I119" s="1"/>
      <c r="J119" s="1"/>
      <c r="K119" s="1"/>
      <c r="M119">
        <f>'2- Prijzen'!S27</f>
        <v>0.38454532575036937</v>
      </c>
      <c r="N119">
        <f>'2- Prijzen'!T27</f>
        <v>0.38454532575036937</v>
      </c>
      <c r="O119">
        <f>'2- Prijzen'!U27</f>
        <v>0.38454532575036937</v>
      </c>
      <c r="P119">
        <f>'2- Prijzen'!V27</f>
        <v>0.36835394361351176</v>
      </c>
      <c r="W119" s="1">
        <f t="shared" si="0"/>
        <v>1338602.2789370357</v>
      </c>
      <c r="X119" s="1">
        <f t="shared" si="1"/>
        <v>1733138.96</v>
      </c>
      <c r="Y119" s="1">
        <f t="shared" si="2"/>
        <v>1579767.3097342588</v>
      </c>
    </row>
    <row r="120" spans="1:25" x14ac:dyDescent="0.25">
      <c r="A120" s="4">
        <v>1702</v>
      </c>
      <c r="D120" s="11"/>
      <c r="F120" s="1">
        <f>'1- Export'!AB28</f>
        <v>3488760</v>
      </c>
      <c r="G120" s="1">
        <f>'1- Export'!AC28</f>
        <v>6506177.1200000001</v>
      </c>
      <c r="H120" s="1">
        <f>'1- Export'!AD28</f>
        <v>5168921.8918150002</v>
      </c>
      <c r="I120" s="1"/>
      <c r="J120" s="1"/>
      <c r="K120" s="1"/>
      <c r="M120">
        <f>'2- Prijzen'!S28</f>
        <v>0.38454532575036937</v>
      </c>
      <c r="N120">
        <f>'2- Prijzen'!T28</f>
        <v>0.38454532575036937</v>
      </c>
      <c r="O120">
        <f>'2- Prijzen'!U28</f>
        <v>0.38454532575036937</v>
      </c>
      <c r="P120">
        <f>'2- Prijzen'!V28</f>
        <v>0.37240178914772615</v>
      </c>
      <c r="W120" s="1">
        <f t="shared" si="0"/>
        <v>1341586.3506648587</v>
      </c>
      <c r="X120" s="1">
        <f t="shared" si="1"/>
        <v>2501920</v>
      </c>
      <c r="Y120" s="1">
        <f t="shared" si="2"/>
        <v>1987684.7526662147</v>
      </c>
    </row>
    <row r="121" spans="1:25" x14ac:dyDescent="0.25">
      <c r="A121" s="4">
        <v>1703</v>
      </c>
      <c r="D121" s="11"/>
      <c r="F121" s="1">
        <f>'1- Export'!AB29</f>
        <v>3531000</v>
      </c>
      <c r="G121" s="1">
        <f>'1- Export'!AC29</f>
        <v>5622744.1999999993</v>
      </c>
      <c r="H121" s="1">
        <f>'1- Export'!AD29</f>
        <v>4751181.3340624999</v>
      </c>
      <c r="I121" s="1"/>
      <c r="J121" s="1"/>
      <c r="K121" s="1"/>
      <c r="M121">
        <f>'2- Prijzen'!S29</f>
        <v>0.38454532575036937</v>
      </c>
      <c r="N121">
        <f>'2- Prijzen'!T29</f>
        <v>0.38454532575036937</v>
      </c>
      <c r="O121">
        <f>'2- Prijzen'!U29</f>
        <v>0.38454532575036937</v>
      </c>
      <c r="P121">
        <f>'2- Prijzen'!V29</f>
        <v>0.37644963468194059</v>
      </c>
      <c r="W121" s="1">
        <f t="shared" si="0"/>
        <v>1357829.5452245541</v>
      </c>
      <c r="X121" s="1">
        <f t="shared" si="1"/>
        <v>2162199.9999999995</v>
      </c>
      <c r="Y121" s="1">
        <f t="shared" si="2"/>
        <v>1827044.5738061385</v>
      </c>
    </row>
    <row r="122" spans="1:25" x14ac:dyDescent="0.25">
      <c r="A122" s="4">
        <v>1704</v>
      </c>
      <c r="D122" s="11"/>
      <c r="F122" s="1">
        <f>'1- Export'!AB30</f>
        <v>3993000</v>
      </c>
      <c r="G122" s="1">
        <f>'1- Export'!AC30</f>
        <v>4782791.2</v>
      </c>
      <c r="H122" s="1">
        <f>'1- Export'!AD30</f>
        <v>4211144.3384999996</v>
      </c>
      <c r="I122" s="1"/>
      <c r="J122" s="1"/>
      <c r="K122" s="1"/>
      <c r="M122">
        <f>'2- Prijzen'!S30</f>
        <v>0.38454532575036937</v>
      </c>
      <c r="N122">
        <f>'2- Prijzen'!T30</f>
        <v>0.38454532575036937</v>
      </c>
      <c r="O122">
        <f>'2- Prijzen'!U30</f>
        <v>0.38454532575036937</v>
      </c>
      <c r="P122">
        <f>'2- Prijzen'!V30</f>
        <v>0.38049748021615504</v>
      </c>
      <c r="W122" s="1">
        <f t="shared" si="0"/>
        <v>1535489.4857212249</v>
      </c>
      <c r="X122" s="1">
        <f t="shared" si="1"/>
        <v>1839200</v>
      </c>
      <c r="Y122" s="1">
        <f t="shared" si="2"/>
        <v>1619375.871430306</v>
      </c>
    </row>
    <row r="123" spans="1:25" x14ac:dyDescent="0.25">
      <c r="A123" s="4">
        <v>1705</v>
      </c>
      <c r="D123" s="11"/>
      <c r="F123" s="1">
        <f>'1- Export'!AB31</f>
        <v>4243800</v>
      </c>
      <c r="G123" s="1">
        <f>'1- Export'!AC31</f>
        <v>5454753.5999999996</v>
      </c>
      <c r="H123" s="1">
        <f>'1- Export'!AD31</f>
        <v>5057773.708625</v>
      </c>
      <c r="I123" s="1"/>
      <c r="J123" s="1"/>
      <c r="K123" s="1"/>
      <c r="M123">
        <f>'2- Prijzen'!S31</f>
        <v>0.38454532575036937</v>
      </c>
      <c r="N123">
        <f>'2- Prijzen'!T31</f>
        <v>0.38454532575036937</v>
      </c>
      <c r="O123">
        <f>'2- Prijzen'!U31</f>
        <v>0.38454532575036937</v>
      </c>
      <c r="P123">
        <f>'2- Prijzen'!V31</f>
        <v>0.38454532575036943</v>
      </c>
      <c r="W123" s="1">
        <f t="shared" si="0"/>
        <v>1631933.4534194176</v>
      </c>
      <c r="X123" s="1">
        <f t="shared" si="1"/>
        <v>2097600</v>
      </c>
      <c r="Y123" s="1">
        <f t="shared" si="2"/>
        <v>1944943.2383548543</v>
      </c>
    </row>
    <row r="124" spans="1:25" x14ac:dyDescent="0.25">
      <c r="A124" s="4">
        <v>1706</v>
      </c>
      <c r="D124" s="11"/>
      <c r="F124" s="1">
        <f>'1- Export'!AB32</f>
        <v>484523</v>
      </c>
      <c r="G124" s="1">
        <f>'1- Export'!AC32</f>
        <v>5451591.4239999996</v>
      </c>
      <c r="H124" s="1">
        <f>'1- Export'!AD32</f>
        <v>2991484.84375</v>
      </c>
      <c r="I124" s="1"/>
      <c r="J124" s="1"/>
      <c r="K124" s="1"/>
      <c r="M124">
        <f>'2- Prijzen'!S32</f>
        <v>0.38454532575036937</v>
      </c>
      <c r="N124">
        <f>'2- Prijzen'!T32</f>
        <v>0.38454532575036937</v>
      </c>
      <c r="O124">
        <f>'2- Prijzen'!U32</f>
        <v>0.38454532575036937</v>
      </c>
      <c r="P124">
        <f>'2- Prijzen'!V32</f>
        <v>0.37847355744904781</v>
      </c>
      <c r="W124" s="1">
        <f t="shared" si="0"/>
        <v>186321.05486854623</v>
      </c>
      <c r="X124" s="1">
        <f t="shared" si="1"/>
        <v>2096384</v>
      </c>
      <c r="Y124" s="1">
        <f t="shared" si="2"/>
        <v>1150361.5137171366</v>
      </c>
    </row>
    <row r="125" spans="1:25" x14ac:dyDescent="0.25">
      <c r="A125" s="4">
        <v>1707</v>
      </c>
      <c r="D125" s="11"/>
      <c r="F125" s="1">
        <f>'1- Export'!AB33</f>
        <v>6104753</v>
      </c>
      <c r="G125" s="1">
        <f>'1- Export'!AC33</f>
        <v>7312235.5459999992</v>
      </c>
      <c r="H125" s="1">
        <f>'1- Export'!AD33</f>
        <v>6800302.5460000001</v>
      </c>
      <c r="I125" s="1"/>
      <c r="J125" s="1"/>
      <c r="K125" s="1"/>
      <c r="M125">
        <f>'2- Prijzen'!S33</f>
        <v>0.38454532575036937</v>
      </c>
      <c r="N125">
        <f>'2- Prijzen'!T33</f>
        <v>0.38454532575036937</v>
      </c>
      <c r="O125">
        <f>'2- Prijzen'!U33</f>
        <v>0.38454532575036937</v>
      </c>
      <c r="P125">
        <f>'2- Prijzen'!V33</f>
        <v>0.3724017891477262</v>
      </c>
      <c r="W125" s="1">
        <f t="shared" si="0"/>
        <v>2347554.2310105446</v>
      </c>
      <c r="X125" s="1">
        <f t="shared" si="1"/>
        <v>2811885.9999999995</v>
      </c>
      <c r="Y125" s="1">
        <f t="shared" si="2"/>
        <v>2615024.5577526363</v>
      </c>
    </row>
    <row r="126" spans="1:25" x14ac:dyDescent="0.25">
      <c r="A126" s="4">
        <v>1708</v>
      </c>
      <c r="D126" s="11"/>
      <c r="F126" s="1">
        <f>'1- Export'!AB34</f>
        <v>4001333</v>
      </c>
      <c r="G126" s="1">
        <f>'1- Export'!AC34</f>
        <v>4792771.818</v>
      </c>
      <c r="H126" s="1">
        <f>'1- Export'!AD34</f>
        <v>4499182.176</v>
      </c>
      <c r="I126" s="1"/>
      <c r="J126" s="1"/>
      <c r="K126" s="1"/>
      <c r="M126">
        <f>'2- Prijzen'!S34</f>
        <v>0.38454532575036937</v>
      </c>
      <c r="N126">
        <f>'2- Prijzen'!T34</f>
        <v>0.38454532575036937</v>
      </c>
      <c r="O126">
        <f>'2- Prijzen'!U34</f>
        <v>0.38454532575036937</v>
      </c>
      <c r="P126">
        <f>'2- Prijzen'!V34</f>
        <v>0.36633002084640459</v>
      </c>
      <c r="W126" s="1">
        <f t="shared" si="0"/>
        <v>1538693.9019207028</v>
      </c>
      <c r="X126" s="1">
        <f t="shared" si="1"/>
        <v>1843038</v>
      </c>
      <c r="Y126" s="1">
        <f t="shared" si="2"/>
        <v>1730139.4754801756</v>
      </c>
    </row>
    <row r="127" spans="1:25" x14ac:dyDescent="0.25">
      <c r="A127" s="4">
        <v>1709</v>
      </c>
      <c r="D127" s="11"/>
      <c r="F127" s="1">
        <f>'1- Export'!AB35</f>
        <v>6072330</v>
      </c>
      <c r="G127" s="1">
        <f>'1- Export'!AC35</f>
        <v>7273400.0719999997</v>
      </c>
      <c r="H127" s="1">
        <f>'1- Export'!AD35</f>
        <v>6796668.3104999997</v>
      </c>
      <c r="I127" s="1"/>
      <c r="J127" s="1"/>
      <c r="K127" s="1"/>
      <c r="M127">
        <f>'2- Prijzen'!S35</f>
        <v>0.38454532575036937</v>
      </c>
      <c r="N127">
        <f>'2- Prijzen'!T35</f>
        <v>0.38454532575036937</v>
      </c>
      <c r="O127">
        <f>'2- Prijzen'!U35</f>
        <v>0.38454532575036937</v>
      </c>
      <c r="P127">
        <f>'2- Prijzen'!V35</f>
        <v>0.36025825254508292</v>
      </c>
      <c r="W127" s="1">
        <f t="shared" si="0"/>
        <v>2335086.1179137402</v>
      </c>
      <c r="X127" s="1">
        <f t="shared" si="1"/>
        <v>2796952</v>
      </c>
      <c r="Y127" s="1">
        <f t="shared" si="2"/>
        <v>2613627.0294784349</v>
      </c>
    </row>
    <row r="128" spans="1:25" x14ac:dyDescent="0.25">
      <c r="A128" s="4">
        <v>1710</v>
      </c>
      <c r="D128" s="11"/>
      <c r="F128" s="1">
        <f>'1- Export'!AB36</f>
        <v>5168130</v>
      </c>
      <c r="G128" s="1">
        <f>'1- Export'!AC36</f>
        <v>6190354.7919999994</v>
      </c>
      <c r="H128" s="1">
        <f>'1- Export'!AD36</f>
        <v>5828075.1540000001</v>
      </c>
      <c r="I128" s="1"/>
      <c r="J128" s="1"/>
      <c r="K128" s="1"/>
      <c r="M128">
        <f>'2- Prijzen'!S36</f>
        <v>0.3238276427371532</v>
      </c>
      <c r="N128">
        <f>'2- Prijzen'!T36</f>
        <v>0.3238276427371532</v>
      </c>
      <c r="O128">
        <f>'2- Prijzen'!U36</f>
        <v>0.3238276427371532</v>
      </c>
      <c r="P128">
        <f>'2- Prijzen'!V36</f>
        <v>0.35418648424376131</v>
      </c>
      <c r="W128" s="1">
        <f t="shared" si="0"/>
        <v>1673583.3552591635</v>
      </c>
      <c r="X128" s="1">
        <f t="shared" si="1"/>
        <v>2004608</v>
      </c>
      <c r="Y128" s="1">
        <f t="shared" si="2"/>
        <v>1887291.8388147911</v>
      </c>
    </row>
    <row r="129" spans="1:28" x14ac:dyDescent="0.25">
      <c r="A129" s="4">
        <v>1711</v>
      </c>
      <c r="D129" s="11"/>
      <c r="F129" s="1">
        <f>'1- Export'!AB37</f>
        <v>7110263</v>
      </c>
      <c r="G129" s="1">
        <f>'1- Export'!AC37</f>
        <v>8516629.3300000001</v>
      </c>
      <c r="H129" s="1">
        <f>'1- Export'!AD37</f>
        <v>8022517.4869999997</v>
      </c>
      <c r="I129" s="1"/>
      <c r="J129" s="1"/>
      <c r="K129" s="1"/>
      <c r="M129">
        <f>'2- Prijzen'!S37</f>
        <v>0.3238276427371532</v>
      </c>
      <c r="N129">
        <f>'2- Prijzen'!T37</f>
        <v>0.3238276427371532</v>
      </c>
      <c r="O129">
        <f>'2- Prijzen'!U37</f>
        <v>0.3238276427371532</v>
      </c>
      <c r="P129">
        <f>'2- Prijzen'!V37</f>
        <v>0.3481147159424397</v>
      </c>
      <c r="W129" s="1">
        <f t="shared" si="0"/>
        <v>2302499.7065311992</v>
      </c>
      <c r="X129" s="1">
        <f t="shared" si="1"/>
        <v>2757920.0000000005</v>
      </c>
      <c r="Y129" s="1">
        <f t="shared" si="2"/>
        <v>2597912.9266328001</v>
      </c>
    </row>
    <row r="130" spans="1:28" x14ac:dyDescent="0.25">
      <c r="A130" s="4">
        <v>1712</v>
      </c>
      <c r="D130" s="11"/>
      <c r="F130" s="1">
        <f>'1- Export'!AB38</f>
        <v>7489515</v>
      </c>
      <c r="G130" s="1">
        <f>'1- Export'!AC38</f>
        <v>8970895.675999999</v>
      </c>
      <c r="H130" s="1">
        <f>'1- Export'!AD38</f>
        <v>8455337.4560000002</v>
      </c>
      <c r="I130" s="1"/>
      <c r="J130" s="1"/>
      <c r="K130" s="1"/>
      <c r="M130">
        <f>'2- Prijzen'!S38</f>
        <v>0.3238276427371532</v>
      </c>
      <c r="N130">
        <f>'2- Prijzen'!T38</f>
        <v>0.3238276427371532</v>
      </c>
      <c r="O130">
        <f>'2- Prijzen'!U38</f>
        <v>0.3238276427371532</v>
      </c>
      <c r="P130">
        <f>'2- Prijzen'!V38</f>
        <v>0.34204294764111809</v>
      </c>
      <c r="W130" s="1">
        <f t="shared" si="0"/>
        <v>2425311.9876945498</v>
      </c>
      <c r="X130" s="1">
        <f t="shared" si="1"/>
        <v>2905024</v>
      </c>
      <c r="Y130" s="1">
        <f t="shared" si="2"/>
        <v>2738071.996923638</v>
      </c>
    </row>
    <row r="131" spans="1:28" x14ac:dyDescent="0.25">
      <c r="A131" s="4">
        <v>1713</v>
      </c>
      <c r="D131" s="11"/>
      <c r="F131" s="1">
        <f>'1- Export'!AB39</f>
        <v>4807605</v>
      </c>
      <c r="G131" s="1">
        <f>'1- Export'!AC39</f>
        <v>5758520.1319999993</v>
      </c>
      <c r="H131" s="1">
        <f>'1- Export'!AD39</f>
        <v>5477052.0317499992</v>
      </c>
      <c r="I131" s="1"/>
      <c r="J131" s="1"/>
      <c r="K131" s="1"/>
      <c r="M131">
        <f>'2- Prijzen'!S39</f>
        <v>0.3238276427371532</v>
      </c>
      <c r="N131">
        <f>'2- Prijzen'!T39</f>
        <v>0.3238276427371532</v>
      </c>
      <c r="O131">
        <f>'2- Prijzen'!U39</f>
        <v>0.3238276427371532</v>
      </c>
      <c r="P131">
        <f>'2- Prijzen'!V39</f>
        <v>0.33597117933979648</v>
      </c>
      <c r="W131" s="1">
        <f t="shared" si="0"/>
        <v>1556835.3943613514</v>
      </c>
      <c r="X131" s="1">
        <f t="shared" si="1"/>
        <v>1864768</v>
      </c>
      <c r="Y131" s="1">
        <f t="shared" si="2"/>
        <v>1773620.8485903377</v>
      </c>
    </row>
    <row r="132" spans="1:28" x14ac:dyDescent="0.25">
      <c r="A132" s="4">
        <v>1714</v>
      </c>
      <c r="D132" s="11"/>
      <c r="F132" s="1">
        <f>'1- Export'!AB40</f>
        <v>7269405</v>
      </c>
      <c r="G132" s="1">
        <f>'1- Export'!AC40</f>
        <v>8707209.7248</v>
      </c>
      <c r="H132" s="1">
        <f>'1- Export'!AD40</f>
        <v>8162963.9426999995</v>
      </c>
      <c r="I132" s="1"/>
      <c r="J132" s="1"/>
      <c r="K132" s="1"/>
      <c r="M132">
        <f>'2- Prijzen'!S40</f>
        <v>0.3238276427371532</v>
      </c>
      <c r="N132">
        <f>'2- Prijzen'!T40</f>
        <v>0.3238276427371532</v>
      </c>
      <c r="O132">
        <f>'2- Prijzen'!U40</f>
        <v>0.3238276427371532</v>
      </c>
      <c r="P132">
        <f>'2- Prijzen'!V40</f>
        <v>0.32989941103847487</v>
      </c>
      <c r="W132" s="1">
        <f t="shared" si="0"/>
        <v>2354034.2852516752</v>
      </c>
      <c r="X132" s="1">
        <f t="shared" si="1"/>
        <v>2819635.2000000002</v>
      </c>
      <c r="Y132" s="1">
        <f t="shared" si="2"/>
        <v>2643393.3713129191</v>
      </c>
    </row>
    <row r="133" spans="1:28" x14ac:dyDescent="0.25">
      <c r="A133" s="4">
        <v>1715</v>
      </c>
      <c r="F133" s="1">
        <f>'1- Export'!AB41</f>
        <v>6445643</v>
      </c>
      <c r="G133" s="1">
        <f>'1- Export'!AC41</f>
        <v>7720551.5219999999</v>
      </c>
      <c r="H133" s="1">
        <f>'1- Export'!AD41</f>
        <v>7255289.6497499999</v>
      </c>
      <c r="I133" s="1"/>
      <c r="J133" s="1"/>
      <c r="K133" s="1"/>
      <c r="M133">
        <f>'2- Prijzen'!S41</f>
        <v>0.3238276427371532</v>
      </c>
      <c r="N133">
        <f>'2- Prijzen'!T41</f>
        <v>0.3238276427371532</v>
      </c>
      <c r="O133">
        <f>'2- Prijzen'!U41</f>
        <v>0.3238276427371532</v>
      </c>
      <c r="P133">
        <f>'2- Prijzen'!V41</f>
        <v>0.32382764273715325</v>
      </c>
      <c r="W133" s="1">
        <f t="shared" si="0"/>
        <v>2087277.3786152324</v>
      </c>
      <c r="X133" s="1">
        <f t="shared" si="1"/>
        <v>2500128.0000000005</v>
      </c>
      <c r="Y133" s="1">
        <f t="shared" si="2"/>
        <v>2349463.3446538085</v>
      </c>
    </row>
    <row r="134" spans="1:28" x14ac:dyDescent="0.25">
      <c r="A134" s="4">
        <v>1716</v>
      </c>
      <c r="F134" s="1">
        <f>'1- Export'!AB42</f>
        <v>5820953</v>
      </c>
      <c r="G134" s="1">
        <f>'1- Export'!AC42</f>
        <v>6972301.6259999992</v>
      </c>
      <c r="H134" s="1">
        <f>'1- Export'!AD42</f>
        <v>6545958.69025</v>
      </c>
      <c r="I134" s="1"/>
      <c r="J134" s="1"/>
      <c r="K134" s="1"/>
      <c r="M134">
        <f>'2- Prijzen'!S42</f>
        <v>0.3238276427371532</v>
      </c>
      <c r="N134">
        <f>'2- Prijzen'!T42</f>
        <v>0.3238276427371532</v>
      </c>
      <c r="O134">
        <f>'2- Prijzen'!U42</f>
        <v>0.3238276427371532</v>
      </c>
      <c r="P134">
        <f>'2- Prijzen'!V42</f>
        <v>0.31977979720293881</v>
      </c>
      <c r="T134">
        <f>'2- Prijzen'!AA42</f>
        <v>1.2548321156064686</v>
      </c>
      <c r="W134" s="1">
        <f t="shared" si="0"/>
        <v>1884985.4884737602</v>
      </c>
      <c r="X134" s="1">
        <f t="shared" si="1"/>
        <v>2257824</v>
      </c>
      <c r="Y134" s="1">
        <f t="shared" si="2"/>
        <v>2119762.3721184405</v>
      </c>
    </row>
    <row r="135" spans="1:28" x14ac:dyDescent="0.25">
      <c r="A135" s="4">
        <v>1717</v>
      </c>
      <c r="F135" s="1">
        <f>'1- Export'!AB43</f>
        <v>4802325</v>
      </c>
      <c r="G135" s="1">
        <f>'1- Export'!AC43</f>
        <v>5752195.7799999993</v>
      </c>
      <c r="H135" s="1">
        <f>'1- Export'!AD43</f>
        <v>5389772.7239999995</v>
      </c>
      <c r="I135" s="1"/>
      <c r="J135" s="1"/>
      <c r="K135" s="1"/>
      <c r="M135">
        <f>'2- Prijzen'!S43</f>
        <v>0.3238276427371532</v>
      </c>
      <c r="N135">
        <f>'2- Prijzen'!T43</f>
        <v>0.3238276427371532</v>
      </c>
      <c r="O135">
        <f>'2- Prijzen'!U43</f>
        <v>0.3238276427371532</v>
      </c>
      <c r="P135">
        <f>'2- Prijzen'!V43</f>
        <v>0.31573195166872436</v>
      </c>
      <c r="T135">
        <f>'2- Prijzen'!AA43</f>
        <v>1.2548321156064686</v>
      </c>
      <c r="W135" s="1">
        <f t="shared" ref="W135:W145" si="3">F135*M135</f>
        <v>1555125.5844076993</v>
      </c>
      <c r="X135" s="1">
        <f t="shared" ref="X135:X145" si="4">G135*N135</f>
        <v>1862720</v>
      </c>
      <c r="Y135" s="1">
        <f t="shared" ref="Y135:Y145" si="5">H135*O135</f>
        <v>1745357.3961019248</v>
      </c>
    </row>
    <row r="136" spans="1:28" x14ac:dyDescent="0.25">
      <c r="A136" s="4">
        <v>1718</v>
      </c>
      <c r="F136" s="1">
        <f>'1- Export'!AB44</f>
        <v>4103715</v>
      </c>
      <c r="G136" s="1">
        <f>'1- Export'!AC44</f>
        <v>4915404.9559999993</v>
      </c>
      <c r="H136" s="1">
        <f>'1- Export'!AD44</f>
        <v>4662814.0697499998</v>
      </c>
      <c r="I136" s="1"/>
      <c r="J136" s="1"/>
      <c r="K136" s="1"/>
      <c r="M136">
        <f>'2- Prijzen'!S44</f>
        <v>0.3238276427371532</v>
      </c>
      <c r="N136">
        <f>'2- Prijzen'!T44</f>
        <v>0.3238276427371532</v>
      </c>
      <c r="O136">
        <f>'2- Prijzen'!U44</f>
        <v>0.3238276427371532</v>
      </c>
      <c r="P136">
        <f>'2- Prijzen'!V44</f>
        <v>0.31168410613451003</v>
      </c>
      <c r="T136">
        <f>'2- Prijzen'!AA44</f>
        <v>1.2548321156064686</v>
      </c>
      <c r="W136" s="1">
        <f t="shared" si="3"/>
        <v>1328896.3549150967</v>
      </c>
      <c r="X136" s="1">
        <f t="shared" si="4"/>
        <v>1591744</v>
      </c>
      <c r="Y136" s="1">
        <f t="shared" si="5"/>
        <v>1509948.0887287743</v>
      </c>
    </row>
    <row r="137" spans="1:28" x14ac:dyDescent="0.25">
      <c r="A137" s="4">
        <v>1719</v>
      </c>
      <c r="F137" s="1">
        <f>'1- Export'!AB45</f>
        <v>5714363</v>
      </c>
      <c r="G137" s="1">
        <f>'1- Export'!AC45</f>
        <v>6844628.7699999996</v>
      </c>
      <c r="H137" s="1">
        <f>'1- Export'!AD45</f>
        <v>6427113.9962499999</v>
      </c>
      <c r="I137" s="1"/>
      <c r="J137" s="1"/>
      <c r="K137" s="1"/>
      <c r="M137">
        <f>'2- Prijzen'!S45</f>
        <v>0.3238276427371532</v>
      </c>
      <c r="N137">
        <f>'2- Prijzen'!T45</f>
        <v>0.3238276427371532</v>
      </c>
      <c r="O137">
        <f>'2- Prijzen'!U45</f>
        <v>0.3238276427371532</v>
      </c>
      <c r="P137">
        <f>'2- Prijzen'!V45</f>
        <v>0.30763626060029559</v>
      </c>
      <c r="T137">
        <f>'2- Prijzen'!AA45</f>
        <v>1.2548321156064686</v>
      </c>
      <c r="W137" s="1">
        <f t="shared" si="3"/>
        <v>1850468.700034407</v>
      </c>
      <c r="X137" s="1">
        <f t="shared" si="4"/>
        <v>2216480</v>
      </c>
      <c r="Y137" s="1">
        <f t="shared" si="5"/>
        <v>2081277.175008602</v>
      </c>
    </row>
    <row r="138" spans="1:28" x14ac:dyDescent="0.25">
      <c r="A138" s="4">
        <v>1720</v>
      </c>
      <c r="F138" s="1">
        <f>'1- Export'!AB46</f>
        <v>6428483</v>
      </c>
      <c r="G138" s="1">
        <f>'1- Export'!AC46</f>
        <v>7699997.3779999996</v>
      </c>
      <c r="H138" s="1">
        <f>'1- Export'!AD46</f>
        <v>7194488.1059999997</v>
      </c>
      <c r="I138" s="1"/>
      <c r="J138" s="1"/>
      <c r="K138" s="1"/>
      <c r="M138">
        <f>'2- Prijzen'!S46</f>
        <v>0.28334918739500903</v>
      </c>
      <c r="N138">
        <f>'2- Prijzen'!T46</f>
        <v>0.28334918739500903</v>
      </c>
      <c r="O138">
        <f>'2- Prijzen'!U46</f>
        <v>0.28334918739500903</v>
      </c>
      <c r="P138">
        <f>'2- Prijzen'!V46</f>
        <v>0.30358841506608114</v>
      </c>
      <c r="Q138">
        <f>'2- Prijzen'!X46</f>
        <v>1.2548321156064686</v>
      </c>
      <c r="R138">
        <f>'2- Prijzen'!Y46</f>
        <v>1.2548321156064686</v>
      </c>
      <c r="S138">
        <f>'2- Prijzen'!Z46</f>
        <v>1.2548321156064686</v>
      </c>
      <c r="T138">
        <f>'2- Prijzen'!AA46</f>
        <v>1.2548321156064686</v>
      </c>
      <c r="W138" s="1">
        <f t="shared" si="3"/>
        <v>1821505.4342326298</v>
      </c>
      <c r="X138" s="1">
        <f t="shared" si="4"/>
        <v>2181788</v>
      </c>
      <c r="Y138" s="1">
        <f t="shared" si="5"/>
        <v>2038552.3585581575</v>
      </c>
    </row>
    <row r="139" spans="1:28" x14ac:dyDescent="0.25">
      <c r="A139" s="4">
        <v>1721</v>
      </c>
      <c r="F139" s="1">
        <f>'1- Export'!AB47</f>
        <v>8530005</v>
      </c>
      <c r="G139" s="1">
        <f>'1- Export'!AC47</f>
        <v>10217148.764799999</v>
      </c>
      <c r="H139" s="1">
        <f>'1- Export'!AD47</f>
        <v>9650256.0019499995</v>
      </c>
      <c r="I139" s="1"/>
      <c r="J139" s="1"/>
      <c r="K139" s="1"/>
      <c r="M139">
        <f>'2- Prijzen'!S47</f>
        <v>0.28334918739500903</v>
      </c>
      <c r="N139">
        <f>'2- Prijzen'!T47</f>
        <v>0.28334918739500903</v>
      </c>
      <c r="O139">
        <f>'2- Prijzen'!U47</f>
        <v>0.28334918739500903</v>
      </c>
      <c r="P139">
        <f>'2- Prijzen'!V47</f>
        <v>0.29954056953186675</v>
      </c>
      <c r="Q139">
        <f>'2- Prijzen'!X47</f>
        <v>1.2548321156064686</v>
      </c>
      <c r="R139">
        <f>'2- Prijzen'!Y47</f>
        <v>1.2548321156064686</v>
      </c>
      <c r="S139">
        <f>'2- Prijzen'!Z47</f>
        <v>1.2548321156064686</v>
      </c>
      <c r="T139">
        <f>'2- Prijzen'!AA47</f>
        <v>1.2548321156064686</v>
      </c>
      <c r="W139" s="1">
        <f t="shared" si="3"/>
        <v>2416969.9852253641</v>
      </c>
      <c r="X139" s="1">
        <f t="shared" si="4"/>
        <v>2895020.8</v>
      </c>
      <c r="Y139" s="1">
        <f t="shared" si="5"/>
        <v>2734392.1963063409</v>
      </c>
    </row>
    <row r="140" spans="1:28" x14ac:dyDescent="0.25">
      <c r="A140" s="4">
        <v>1722</v>
      </c>
      <c r="F140" s="1">
        <f>'1- Export'!AB48</f>
        <v>9855945</v>
      </c>
      <c r="G140" s="1">
        <f>'1- Export'!AC48</f>
        <v>11805351.660799999</v>
      </c>
      <c r="H140" s="1">
        <f>'1- Export'!AD48</f>
        <v>11196424.210199999</v>
      </c>
      <c r="I140" s="1"/>
      <c r="J140" s="1"/>
      <c r="K140" s="1"/>
      <c r="M140">
        <f>'2- Prijzen'!S48</f>
        <v>0.28334918739500903</v>
      </c>
      <c r="N140">
        <f>'2- Prijzen'!T48</f>
        <v>0.28334918739500903</v>
      </c>
      <c r="O140">
        <f>'2- Prijzen'!U48</f>
        <v>0.28334918739500903</v>
      </c>
      <c r="P140">
        <f>'2- Prijzen'!V48</f>
        <v>0.29549272399765236</v>
      </c>
      <c r="Q140">
        <f>'2- Prijzen'!X48</f>
        <v>1.2548321156064686</v>
      </c>
      <c r="R140">
        <f>'2- Prijzen'!Y48</f>
        <v>1.2548321156064686</v>
      </c>
      <c r="S140">
        <f>'2- Prijzen'!Z48</f>
        <v>1.2548321156064686</v>
      </c>
      <c r="T140">
        <f>'2- Prijzen'!AA48</f>
        <v>1.2548321156064686</v>
      </c>
      <c r="W140" s="1">
        <f t="shared" si="3"/>
        <v>2792674.0067599025</v>
      </c>
      <c r="X140" s="1">
        <f t="shared" si="4"/>
        <v>3345036.8</v>
      </c>
      <c r="Y140" s="1">
        <f t="shared" si="5"/>
        <v>3172497.7016899753</v>
      </c>
    </row>
    <row r="141" spans="1:28" x14ac:dyDescent="0.25">
      <c r="A141" s="4">
        <v>1723</v>
      </c>
      <c r="F141" s="1">
        <f>'1- Export'!AB49</f>
        <v>6842220</v>
      </c>
      <c r="G141" s="1">
        <f>'1- Export'!AC49</f>
        <v>8264742.2479999997</v>
      </c>
      <c r="H141" s="1">
        <f>'1- Export'!AD49</f>
        <v>7891818.5359999994</v>
      </c>
      <c r="I141" s="1">
        <f>'1- Export'!AE49</f>
        <v>1692.2582499999999</v>
      </c>
      <c r="J141" s="1">
        <f>'1- Export'!AF49</f>
        <v>1692.2582499999999</v>
      </c>
      <c r="K141" s="1">
        <f>'1- Export'!AG49</f>
        <v>1692.2582499999999</v>
      </c>
      <c r="M141">
        <f>'2- Prijzen'!S49</f>
        <v>0.28334918739500903</v>
      </c>
      <c r="N141">
        <f>'2- Prijzen'!T49</f>
        <v>0.28334918739500903</v>
      </c>
      <c r="O141">
        <f>'2- Prijzen'!U49</f>
        <v>0.28334918739500903</v>
      </c>
      <c r="P141">
        <f>'2- Prijzen'!V49</f>
        <v>0.29144487846343792</v>
      </c>
      <c r="Q141">
        <f>'2- Prijzen'!X49</f>
        <v>1.2548321156064686</v>
      </c>
      <c r="R141">
        <f>'2- Prijzen'!Y49</f>
        <v>1.2548321156064686</v>
      </c>
      <c r="S141">
        <f>'2- Prijzen'!Z49</f>
        <v>1.2548321156064686</v>
      </c>
      <c r="T141">
        <f>'2- Prijzen'!AA49</f>
        <v>1.2548321156064686</v>
      </c>
      <c r="W141" s="1">
        <f t="shared" si="3"/>
        <v>1938737.4769778787</v>
      </c>
      <c r="X141" s="1">
        <f t="shared" si="4"/>
        <v>2341808</v>
      </c>
      <c r="Y141" s="1">
        <f t="shared" si="5"/>
        <v>2236140.3692444698</v>
      </c>
      <c r="Z141" s="1">
        <f>I141*Q141</f>
        <v>2123.5</v>
      </c>
      <c r="AA141" s="1">
        <f>J141*R141</f>
        <v>2123.5</v>
      </c>
      <c r="AB141" s="1">
        <f>K141*S141</f>
        <v>2123.5</v>
      </c>
    </row>
    <row r="142" spans="1:28" x14ac:dyDescent="0.25">
      <c r="A142" s="4">
        <v>1724</v>
      </c>
      <c r="F142" s="1">
        <f>'1- Export'!AB50</f>
        <v>8519940</v>
      </c>
      <c r="G142" s="1">
        <f>'1- Export'!AC50</f>
        <v>10205132.495999999</v>
      </c>
      <c r="H142" s="1">
        <f>'1- Export'!AD50</f>
        <v>9607048.9699999988</v>
      </c>
      <c r="I142" s="1">
        <f>'1- Export'!AE50</f>
        <v>2780.2444299999997</v>
      </c>
      <c r="J142" s="1">
        <f>'1- Export'!AF50</f>
        <v>2899.3201199999999</v>
      </c>
      <c r="K142" s="1">
        <f>'1- Export'!AG50</f>
        <v>2848.0976449999998</v>
      </c>
      <c r="M142">
        <f>'2- Prijzen'!S50</f>
        <v>0.28334918739500903</v>
      </c>
      <c r="N142">
        <f>'2- Prijzen'!T50</f>
        <v>0.28334918739500903</v>
      </c>
      <c r="O142">
        <f>'2- Prijzen'!U50</f>
        <v>0.28334918739500903</v>
      </c>
      <c r="P142">
        <f>'2- Prijzen'!V50</f>
        <v>0.28739703292922353</v>
      </c>
      <c r="Q142">
        <f>'2- Prijzen'!X50</f>
        <v>1.2548321156064686</v>
      </c>
      <c r="R142">
        <f>'2- Prijzen'!Y50</f>
        <v>1.2548321156064686</v>
      </c>
      <c r="S142">
        <f>'2- Prijzen'!Z50</f>
        <v>1.2548321156064686</v>
      </c>
      <c r="T142">
        <f>'2- Prijzen'!AA50</f>
        <v>1.2548321156064686</v>
      </c>
      <c r="W142" s="1">
        <f t="shared" si="3"/>
        <v>2414118.0756542333</v>
      </c>
      <c r="X142" s="1">
        <f t="shared" si="4"/>
        <v>2891616</v>
      </c>
      <c r="Y142" s="1">
        <f t="shared" si="5"/>
        <v>2722149.5189135582</v>
      </c>
      <c r="Z142" s="1">
        <f t="shared" ref="Z142:Z145" si="6">I142*Q142</f>
        <v>3488.74</v>
      </c>
      <c r="AA142" s="1">
        <f t="shared" ref="AA142:AA145" si="7">J142*R142</f>
        <v>3638.1600000000003</v>
      </c>
      <c r="AB142" s="1">
        <f t="shared" ref="AB142:AB145" si="8">K142*S142</f>
        <v>3573.8843933291505</v>
      </c>
    </row>
    <row r="143" spans="1:28" x14ac:dyDescent="0.25">
      <c r="A143" s="4">
        <v>1725</v>
      </c>
      <c r="F143" s="1">
        <f>'1- Export'!AB51</f>
        <v>7322783</v>
      </c>
      <c r="G143" s="1">
        <f>'1- Export'!AC51</f>
        <v>8771184.4979999997</v>
      </c>
      <c r="H143" s="1">
        <f>'1- Export'!AD51</f>
        <v>8254162.2039999999</v>
      </c>
      <c r="I143" s="1">
        <f>'1- Export'!AE51</f>
        <v>22770.631739999997</v>
      </c>
      <c r="J143" s="1">
        <f>'1- Export'!AF51</f>
        <v>23174.79736</v>
      </c>
      <c r="K143" s="1">
        <f>'1- Export'!AG51</f>
        <v>22965.210844999998</v>
      </c>
      <c r="M143">
        <f>'2- Prijzen'!S51</f>
        <v>0.28334918739500903</v>
      </c>
      <c r="N143">
        <f>'2- Prijzen'!T51</f>
        <v>0.28334918739500903</v>
      </c>
      <c r="O143">
        <f>'2- Prijzen'!U51</f>
        <v>0.28334918739500903</v>
      </c>
      <c r="P143">
        <f>'2- Prijzen'!V51</f>
        <v>0.28334918739500908</v>
      </c>
      <c r="Q143">
        <f>'2- Prijzen'!X51</f>
        <v>1.2548321156064686</v>
      </c>
      <c r="R143">
        <f>'2- Prijzen'!Y51</f>
        <v>1.2548321156064686</v>
      </c>
      <c r="S143">
        <f>'2- Prijzen'!Z51</f>
        <v>1.2548321156064686</v>
      </c>
      <c r="T143">
        <f>'2- Prijzen'!AA51</f>
        <v>1.2548321156064686</v>
      </c>
      <c r="W143" s="1">
        <f t="shared" si="3"/>
        <v>2074904.6125199865</v>
      </c>
      <c r="X143" s="1">
        <f t="shared" si="4"/>
        <v>2485308</v>
      </c>
      <c r="Y143" s="1">
        <f t="shared" si="5"/>
        <v>2338810.1531299967</v>
      </c>
      <c r="Z143" s="1">
        <f t="shared" si="6"/>
        <v>28573.32</v>
      </c>
      <c r="AA143" s="1">
        <f t="shared" si="7"/>
        <v>29080.480000000003</v>
      </c>
      <c r="AB143" s="1">
        <f t="shared" si="8"/>
        <v>28817.484109979963</v>
      </c>
    </row>
    <row r="144" spans="1:28" x14ac:dyDescent="0.25">
      <c r="A144" s="4">
        <v>1726</v>
      </c>
      <c r="F144" s="1">
        <f>'1- Export'!AB52</f>
        <v>8194973</v>
      </c>
      <c r="G144" s="1">
        <f>'1- Export'!AC52</f>
        <v>9816086.0299999993</v>
      </c>
      <c r="H144" s="1">
        <f>'1- Export'!AD52</f>
        <v>9275167.7152500004</v>
      </c>
      <c r="I144" s="1">
        <f>'1- Export'!AE52</f>
        <v>70507.631179999997</v>
      </c>
      <c r="J144" s="1">
        <f>'1- Export'!AF52</f>
        <v>71351</v>
      </c>
      <c r="K144" s="1">
        <f>'1- Export'!AG52</f>
        <v>70718.47338499999</v>
      </c>
      <c r="M144">
        <f>'2- Prijzen'!S52</f>
        <v>0.28334918739500903</v>
      </c>
      <c r="N144">
        <f>'2- Prijzen'!T52</f>
        <v>0.28334918739500903</v>
      </c>
      <c r="O144">
        <f>'2- Prijzen'!U52</f>
        <v>0.28334918739500903</v>
      </c>
      <c r="P144">
        <f>'2- Prijzen'!V52</f>
        <v>0.27727741909368742</v>
      </c>
      <c r="Q144">
        <f>'2- Prijzen'!X52</f>
        <v>1.2548321156064686</v>
      </c>
      <c r="R144">
        <f>'2- Prijzen'!Y52</f>
        <v>1.2548321156064686</v>
      </c>
      <c r="S144">
        <f>'2- Prijzen'!Z52</f>
        <v>1.2548321156064686</v>
      </c>
      <c r="T144">
        <f>'2- Prijzen'!AA52</f>
        <v>1.2548321156064686</v>
      </c>
      <c r="W144" s="1">
        <f t="shared" si="3"/>
        <v>2322038.9402740393</v>
      </c>
      <c r="X144" s="1">
        <f t="shared" si="4"/>
        <v>2781380</v>
      </c>
      <c r="Y144" s="1">
        <f t="shared" si="5"/>
        <v>2628111.2350685103</v>
      </c>
      <c r="Z144" s="1">
        <f t="shared" si="6"/>
        <v>88475.24</v>
      </c>
      <c r="AA144" s="1">
        <f t="shared" si="7"/>
        <v>89533.526280637132</v>
      </c>
      <c r="AB144" s="1">
        <f t="shared" si="8"/>
        <v>88739.811570159276</v>
      </c>
    </row>
    <row r="145" spans="1:28" x14ac:dyDescent="0.25">
      <c r="A145" s="4">
        <v>1727</v>
      </c>
      <c r="F145" s="1">
        <f>'1- Export'!AB53</f>
        <v>8797965</v>
      </c>
      <c r="G145" s="1">
        <f>'1- Export'!AC53</f>
        <v>10538149.155999999</v>
      </c>
      <c r="H145" s="1">
        <f>'1- Export'!AD53</f>
        <v>9993637.4774999991</v>
      </c>
      <c r="I145" s="1">
        <f>'1- Export'!AE53</f>
        <v>102460.92556999999</v>
      </c>
      <c r="J145" s="1">
        <f>'1- Export'!AF53</f>
        <v>103687</v>
      </c>
      <c r="K145" s="1">
        <f>'1- Export'!AG53</f>
        <v>102767.4441775</v>
      </c>
      <c r="M145">
        <f>'2- Prijzen'!S53</f>
        <v>0.28334918739500903</v>
      </c>
      <c r="N145">
        <f>'2- Prijzen'!T53</f>
        <v>0.28334918739500903</v>
      </c>
      <c r="O145">
        <f>'2- Prijzen'!U53</f>
        <v>0.28334918739500903</v>
      </c>
      <c r="P145">
        <f>'2- Prijzen'!V53</f>
        <v>0.2712056507923658</v>
      </c>
      <c r="Q145">
        <f>'2- Prijzen'!X53</f>
        <v>1.2548321156064686</v>
      </c>
      <c r="R145">
        <f>'2- Prijzen'!Y53</f>
        <v>1.2548321156064686</v>
      </c>
      <c r="S145">
        <f>'2- Prijzen'!Z53</f>
        <v>1.2548321156064686</v>
      </c>
      <c r="T145">
        <f>'2- Prijzen'!AA53</f>
        <v>1.2548321156064686</v>
      </c>
      <c r="W145" s="1">
        <f t="shared" si="3"/>
        <v>2492896.2334797308</v>
      </c>
      <c r="X145" s="1">
        <f t="shared" si="4"/>
        <v>2985976</v>
      </c>
      <c r="Y145" s="1">
        <f t="shared" si="5"/>
        <v>2831689.0583699327</v>
      </c>
      <c r="Z145" s="1">
        <f t="shared" si="6"/>
        <v>128571.26</v>
      </c>
      <c r="AA145" s="1">
        <f t="shared" si="7"/>
        <v>130109.77757088791</v>
      </c>
      <c r="AB145" s="1">
        <f t="shared" si="8"/>
        <v>128955.88939272199</v>
      </c>
    </row>
    <row r="146" spans="1:28" x14ac:dyDescent="0.25">
      <c r="A146" s="4">
        <v>1728</v>
      </c>
      <c r="F146" s="1">
        <f>'1- Export'!AB54</f>
        <v>8525880</v>
      </c>
      <c r="G146" s="1">
        <f>'1- Export'!AC54</f>
        <v>10212247.391999999</v>
      </c>
      <c r="H146" s="1">
        <f>'1- Export'!AD54</f>
        <v>9666144.8639999982</v>
      </c>
      <c r="I146" s="1">
        <f>'1- Export'!AE54</f>
        <v>102441.16197</v>
      </c>
      <c r="J146" s="1">
        <f>'1- Export'!AF54</f>
        <v>115081</v>
      </c>
      <c r="K146" s="1">
        <f>'1- Export'!AG54</f>
        <v>111240.91178249998</v>
      </c>
      <c r="M146">
        <f>'2- Prijzen'!S54</f>
        <v>0.28334918739500903</v>
      </c>
      <c r="N146">
        <f>'2- Prijzen'!T54</f>
        <v>0.28334918739500903</v>
      </c>
      <c r="O146">
        <f>'2- Prijzen'!U54</f>
        <v>0.28334918739500903</v>
      </c>
      <c r="P146">
        <f>'2- Prijzen'!V54</f>
        <v>0.26513388249104419</v>
      </c>
      <c r="Q146">
        <f>'2- Prijzen'!X54</f>
        <v>1.2548321156064686</v>
      </c>
      <c r="R146">
        <f>'2- Prijzen'!Y54</f>
        <v>1.2548321156064686</v>
      </c>
      <c r="S146">
        <f>'2- Prijzen'!Z54</f>
        <v>1.2548321156064686</v>
      </c>
      <c r="T146">
        <f>'2- Prijzen'!AA54</f>
        <v>1.2548321156064686</v>
      </c>
      <c r="W146" s="1">
        <f t="shared" ref="W146:W209" si="9">F146*M146</f>
        <v>2415801.1698273597</v>
      </c>
      <c r="X146" s="1">
        <f t="shared" ref="X146:X209" si="10">G146*N146</f>
        <v>2893632</v>
      </c>
      <c r="Y146" s="1">
        <f t="shared" ref="Y146:Y209" si="11">H146*O146</f>
        <v>2738894.2924568397</v>
      </c>
      <c r="Z146" s="1">
        <f t="shared" ref="Z146:Z209" si="12">I146*Q146</f>
        <v>128546.46</v>
      </c>
      <c r="AA146" s="1">
        <f t="shared" ref="AA146:AA209" si="13">J146*R146</f>
        <v>144407.33469610801</v>
      </c>
      <c r="AB146" s="1">
        <f t="shared" ref="AB146:AB209" si="14">K146*S146</f>
        <v>139588.66867402699</v>
      </c>
    </row>
    <row r="147" spans="1:28" x14ac:dyDescent="0.25">
      <c r="A147" s="4">
        <v>1729</v>
      </c>
      <c r="F147" s="1">
        <f>'1- Export'!AB55</f>
        <v>8662005</v>
      </c>
      <c r="G147" s="1">
        <f>'1- Export'!AC55</f>
        <v>10375297.092</v>
      </c>
      <c r="H147" s="1">
        <f>'1- Export'!AD55</f>
        <v>9767001.7864999995</v>
      </c>
      <c r="I147" s="1">
        <f>'1- Export'!AE55</f>
        <v>134474.00485</v>
      </c>
      <c r="J147" s="1">
        <f>'1- Export'!AF55</f>
        <v>136083</v>
      </c>
      <c r="K147" s="1">
        <f>'1- Export'!AG55</f>
        <v>134876.25363749999</v>
      </c>
      <c r="M147">
        <f>'2- Prijzen'!S55</f>
        <v>0.28334918739500903</v>
      </c>
      <c r="N147">
        <f>'2- Prijzen'!T55</f>
        <v>0.28334918739500903</v>
      </c>
      <c r="O147">
        <f>'2- Prijzen'!U55</f>
        <v>0.28334918739500903</v>
      </c>
      <c r="P147">
        <f>'2- Prijzen'!V55</f>
        <v>0.25906211418972253</v>
      </c>
      <c r="Q147">
        <f>'2- Prijzen'!X55</f>
        <v>1.2548321156064686</v>
      </c>
      <c r="R147">
        <f>'2- Prijzen'!Y55</f>
        <v>1.2548321156064686</v>
      </c>
      <c r="S147">
        <f>'2- Prijzen'!Z55</f>
        <v>1.2548321156064686</v>
      </c>
      <c r="T147">
        <f>'2- Prijzen'!AA55</f>
        <v>1.2548321156064686</v>
      </c>
      <c r="W147" s="1">
        <f t="shared" si="9"/>
        <v>2454372.0779615054</v>
      </c>
      <c r="X147" s="1">
        <f t="shared" si="10"/>
        <v>2939832.0000000005</v>
      </c>
      <c r="Y147" s="1">
        <f t="shared" si="11"/>
        <v>2767472.0194903761</v>
      </c>
      <c r="Z147" s="1">
        <f t="shared" si="12"/>
        <v>168742.30000000002</v>
      </c>
      <c r="AA147" s="1">
        <f t="shared" si="13"/>
        <v>170761.31878807506</v>
      </c>
      <c r="AB147" s="1">
        <f t="shared" si="14"/>
        <v>169247.05469701876</v>
      </c>
    </row>
    <row r="148" spans="1:28" x14ac:dyDescent="0.25">
      <c r="A148" s="4">
        <v>1730</v>
      </c>
      <c r="F148" s="1">
        <f>'1- Export'!AB56</f>
        <v>8943000</v>
      </c>
      <c r="G148" s="1">
        <f>'1- Export'!AC56</f>
        <v>10711871.199999999</v>
      </c>
      <c r="H148" s="1">
        <f>'1- Export'!AD56</f>
        <v>9953633.4360000007</v>
      </c>
      <c r="I148" s="1">
        <f>'1- Export'!AE56</f>
        <v>231454.48413999999</v>
      </c>
      <c r="J148" s="1">
        <f>'1- Export'!AF56</f>
        <v>251834</v>
      </c>
      <c r="K148" s="1">
        <f>'1- Export'!AG56</f>
        <v>245250.53504999998</v>
      </c>
      <c r="M148">
        <f>'2- Prijzen'!S56</f>
        <v>0.2226315043817928</v>
      </c>
      <c r="N148">
        <f>'2- Prijzen'!T56</f>
        <v>0.2226315043817928</v>
      </c>
      <c r="O148">
        <f>'2- Prijzen'!U56</f>
        <v>0.2226315043817928</v>
      </c>
      <c r="P148">
        <f>'2- Prijzen'!V56</f>
        <v>0.25299034588840091</v>
      </c>
      <c r="Q148">
        <f>'2- Prijzen'!X56</f>
        <v>1.2548321156064686</v>
      </c>
      <c r="R148">
        <f>'2- Prijzen'!Y56</f>
        <v>1.2548321156064686</v>
      </c>
      <c r="S148">
        <f>'2- Prijzen'!Z56</f>
        <v>1.2548321156064686</v>
      </c>
      <c r="T148">
        <f>'2- Prijzen'!AA56</f>
        <v>1.2548321156064686</v>
      </c>
      <c r="W148" s="1">
        <f t="shared" si="9"/>
        <v>1990993.5436863729</v>
      </c>
      <c r="X148" s="1">
        <f t="shared" si="10"/>
        <v>2384800</v>
      </c>
      <c r="Y148" s="1">
        <f t="shared" si="11"/>
        <v>2215992.3859215933</v>
      </c>
      <c r="Z148" s="1">
        <f t="shared" si="12"/>
        <v>290436.52</v>
      </c>
      <c r="AA148" s="1">
        <f t="shared" si="13"/>
        <v>316009.39100163942</v>
      </c>
      <c r="AB148" s="1">
        <f t="shared" si="14"/>
        <v>307748.24775040982</v>
      </c>
    </row>
    <row r="149" spans="1:28" x14ac:dyDescent="0.25">
      <c r="A149" s="4">
        <v>1731</v>
      </c>
      <c r="F149" s="1">
        <f>'1- Export'!AB57</f>
        <v>7669695</v>
      </c>
      <c r="G149" s="1">
        <f>'1- Export'!AC57</f>
        <v>9376345.9299999997</v>
      </c>
      <c r="H149" s="1">
        <f>'1- Export'!AD57</f>
        <v>8770921.4354999997</v>
      </c>
      <c r="I149" s="1">
        <f>'1- Export'!AE57</f>
        <v>261638.44223999997</v>
      </c>
      <c r="J149" s="1">
        <f>'1- Export'!AF57</f>
        <v>277516.51847999997</v>
      </c>
      <c r="K149" s="1">
        <f>'1- Export'!AG57</f>
        <v>266513.61789999995</v>
      </c>
      <c r="M149">
        <f>'2- Prijzen'!S57</f>
        <v>0.2226315043817928</v>
      </c>
      <c r="N149">
        <f>'2- Prijzen'!T57</f>
        <v>0.2226315043817928</v>
      </c>
      <c r="O149">
        <f>'2- Prijzen'!U57</f>
        <v>0.2226315043817928</v>
      </c>
      <c r="P149">
        <f>'2- Prijzen'!V57</f>
        <v>0.2469185775870793</v>
      </c>
      <c r="Q149">
        <f>'2- Prijzen'!X57</f>
        <v>1.2548321156064686</v>
      </c>
      <c r="R149">
        <f>'2- Prijzen'!Y57</f>
        <v>1.2548321156064686</v>
      </c>
      <c r="S149">
        <f>'2- Prijzen'!Z57</f>
        <v>1.2548321156064686</v>
      </c>
      <c r="T149">
        <f>'2- Prijzen'!AA57</f>
        <v>1.2548321156064686</v>
      </c>
      <c r="W149" s="1">
        <f t="shared" si="9"/>
        <v>1707515.7359995143</v>
      </c>
      <c r="X149" s="1">
        <f t="shared" si="10"/>
        <v>2087470</v>
      </c>
      <c r="Y149" s="1">
        <f t="shared" si="11"/>
        <v>1952683.4339998786</v>
      </c>
      <c r="Z149" s="1">
        <f t="shared" si="12"/>
        <v>328312.32000000001</v>
      </c>
      <c r="AA149" s="1">
        <f t="shared" si="13"/>
        <v>348236.64</v>
      </c>
      <c r="AB149" s="1">
        <f t="shared" si="14"/>
        <v>334429.84698739095</v>
      </c>
    </row>
    <row r="150" spans="1:28" x14ac:dyDescent="0.25">
      <c r="A150" s="4">
        <v>1732</v>
      </c>
      <c r="F150" s="1">
        <f>'1- Export'!AB58</f>
        <v>9027480</v>
      </c>
      <c r="G150" s="1">
        <f>'1- Export'!AC58</f>
        <v>10813060.831999999</v>
      </c>
      <c r="H150" s="1">
        <f>'1- Export'!AD58</f>
        <v>9859630.4659999982</v>
      </c>
      <c r="I150" s="1">
        <f>'1- Export'!AE58</f>
        <v>500331.34487999999</v>
      </c>
      <c r="J150" s="1">
        <f>'1- Export'!AF58</f>
        <v>550574</v>
      </c>
      <c r="K150" s="1">
        <f>'1- Export'!AG58</f>
        <v>534666.18439249997</v>
      </c>
      <c r="M150">
        <f>'2- Prijzen'!S58</f>
        <v>0.2226315043817928</v>
      </c>
      <c r="N150">
        <f>'2- Prijzen'!T58</f>
        <v>0.2226315043817928</v>
      </c>
      <c r="O150">
        <f>'2- Prijzen'!U58</f>
        <v>0.2226315043817928</v>
      </c>
      <c r="P150">
        <f>'2- Prijzen'!V58</f>
        <v>0.24084680928575769</v>
      </c>
      <c r="Q150">
        <f>'2- Prijzen'!X58</f>
        <v>1.2548321156064686</v>
      </c>
      <c r="R150">
        <f>'2- Prijzen'!Y58</f>
        <v>1.2548321156064686</v>
      </c>
      <c r="S150">
        <f>'2- Prijzen'!Z58</f>
        <v>1.2548321156064686</v>
      </c>
      <c r="T150">
        <f>'2- Prijzen'!AA58</f>
        <v>1.2548321156064686</v>
      </c>
      <c r="W150" s="1">
        <f t="shared" si="9"/>
        <v>2009801.4531765468</v>
      </c>
      <c r="X150" s="1">
        <f t="shared" si="10"/>
        <v>2407328</v>
      </c>
      <c r="Y150" s="1">
        <f t="shared" si="11"/>
        <v>2195064.3632941362</v>
      </c>
      <c r="Z150" s="1">
        <f t="shared" si="12"/>
        <v>627831.84000000008</v>
      </c>
      <c r="AA150" s="1">
        <f t="shared" si="13"/>
        <v>690877.93721791578</v>
      </c>
      <c r="AB150" s="1">
        <f t="shared" si="14"/>
        <v>670916.29930447892</v>
      </c>
    </row>
    <row r="151" spans="1:28" x14ac:dyDescent="0.25">
      <c r="A151" s="4">
        <v>1733</v>
      </c>
      <c r="F151" s="1">
        <f>'1- Export'!AB59</f>
        <v>6849645</v>
      </c>
      <c r="G151" s="1">
        <f>'1- Export'!AC59</f>
        <v>8335693.5719999997</v>
      </c>
      <c r="H151" s="1">
        <f>'1- Export'!AD59</f>
        <v>7816774.6183999991</v>
      </c>
      <c r="I151" s="1">
        <f>'1- Export'!AE59</f>
        <v>389868.63175999996</v>
      </c>
      <c r="J151" s="1">
        <f>'1- Export'!AF59</f>
        <v>394549</v>
      </c>
      <c r="K151" s="1">
        <f>'1- Export'!AG59</f>
        <v>391093.93837749999</v>
      </c>
      <c r="M151">
        <f>'2- Prijzen'!S59</f>
        <v>0.2226315043817928</v>
      </c>
      <c r="N151">
        <f>'2- Prijzen'!T59</f>
        <v>0.2226315043817928</v>
      </c>
      <c r="O151">
        <f>'2- Prijzen'!U59</f>
        <v>0.2226315043817928</v>
      </c>
      <c r="P151">
        <f>'2- Prijzen'!V59</f>
        <v>0.23477504098443608</v>
      </c>
      <c r="Q151">
        <f>'2- Prijzen'!X59</f>
        <v>1.2548321156064686</v>
      </c>
      <c r="R151">
        <f>'2- Prijzen'!Y59</f>
        <v>1.2548321156064686</v>
      </c>
      <c r="S151">
        <f>'2- Prijzen'!Z59</f>
        <v>1.2548321156064686</v>
      </c>
      <c r="T151">
        <f>'2- Prijzen'!AA59</f>
        <v>1.2548321156064686</v>
      </c>
      <c r="W151" s="1">
        <f t="shared" si="9"/>
        <v>1524946.7708312252</v>
      </c>
      <c r="X151" s="1">
        <f t="shared" si="10"/>
        <v>1855788</v>
      </c>
      <c r="Y151" s="1">
        <f t="shared" si="11"/>
        <v>1740260.2927078062</v>
      </c>
      <c r="Z151" s="1">
        <f t="shared" si="12"/>
        <v>489219.68</v>
      </c>
      <c r="AA151" s="1">
        <f t="shared" si="13"/>
        <v>495092.75638041657</v>
      </c>
      <c r="AB151" s="1">
        <f t="shared" si="14"/>
        <v>490757.23409510416</v>
      </c>
    </row>
    <row r="152" spans="1:28" x14ac:dyDescent="0.25">
      <c r="A152" s="4">
        <v>1734</v>
      </c>
      <c r="F152" s="1">
        <f>'1- Export'!AB60</f>
        <v>7421040</v>
      </c>
      <c r="G152" s="1">
        <f>'1- Export'!AC60</f>
        <v>8888876.7359999996</v>
      </c>
      <c r="H152" s="1">
        <f>'1- Export'!AD60</f>
        <v>8440886.7919999994</v>
      </c>
      <c r="I152" s="1">
        <f>'1- Export'!AE60</f>
        <v>621088.91723999998</v>
      </c>
      <c r="J152" s="1">
        <f>'1- Export'!AF60</f>
        <v>628518</v>
      </c>
      <c r="K152" s="1">
        <f>'1- Export'!AG60</f>
        <v>625110.17860749993</v>
      </c>
      <c r="M152">
        <f>'2- Prijzen'!S60</f>
        <v>0.2226315043817928</v>
      </c>
      <c r="N152">
        <f>'2- Prijzen'!T60</f>
        <v>0.2226315043817928</v>
      </c>
      <c r="O152">
        <f>'2- Prijzen'!U60</f>
        <v>0.2226315043817928</v>
      </c>
      <c r="P152">
        <f>'2- Prijzen'!V60</f>
        <v>0.22870327268311447</v>
      </c>
      <c r="Q152">
        <f>'2- Prijzen'!X60</f>
        <v>1.2548321156064686</v>
      </c>
      <c r="R152">
        <f>'2- Prijzen'!Y60</f>
        <v>1.2548321156064686</v>
      </c>
      <c r="S152">
        <f>'2- Prijzen'!Z60</f>
        <v>1.2548321156064686</v>
      </c>
      <c r="T152">
        <f>'2- Prijzen'!AA60</f>
        <v>1.2548321156064686</v>
      </c>
      <c r="W152" s="1">
        <f t="shared" si="9"/>
        <v>1652157.2992774597</v>
      </c>
      <c r="X152" s="1">
        <f t="shared" si="10"/>
        <v>1978944</v>
      </c>
      <c r="Y152" s="1">
        <f t="shared" si="11"/>
        <v>1879207.3248193648</v>
      </c>
      <c r="Z152" s="1">
        <f t="shared" si="12"/>
        <v>779362.32000000007</v>
      </c>
      <c r="AA152" s="1">
        <f t="shared" si="13"/>
        <v>788684.5716367464</v>
      </c>
      <c r="AB152" s="1">
        <f t="shared" si="14"/>
        <v>784408.3279091866</v>
      </c>
    </row>
    <row r="153" spans="1:28" x14ac:dyDescent="0.25">
      <c r="A153" s="4">
        <v>1735</v>
      </c>
      <c r="F153" s="1">
        <f>'1- Export'!AB61</f>
        <v>5666018</v>
      </c>
      <c r="G153" s="1">
        <f>'1- Export'!AC61</f>
        <v>6786721.4219999993</v>
      </c>
      <c r="H153" s="1">
        <f>'1- Export'!AD61</f>
        <v>6197745.492625</v>
      </c>
      <c r="I153" s="1">
        <f>'1- Export'!AE61</f>
        <v>601673.65068999992</v>
      </c>
      <c r="J153" s="1">
        <f>'1- Export'!AF61</f>
        <v>688168</v>
      </c>
      <c r="K153" s="1">
        <f>'1- Export'!AG61</f>
        <v>662477.09274749993</v>
      </c>
      <c r="M153">
        <f>'2- Prijzen'!S61</f>
        <v>0.2226315043817928</v>
      </c>
      <c r="N153">
        <f>'2- Prijzen'!T61</f>
        <v>0.2226315043817928</v>
      </c>
      <c r="O153">
        <f>'2- Prijzen'!U61</f>
        <v>0.2226315043817928</v>
      </c>
      <c r="P153">
        <f>'2- Prijzen'!V61</f>
        <v>0.22263150438179286</v>
      </c>
      <c r="Q153">
        <f>'2- Prijzen'!X61</f>
        <v>1.2548321156064686</v>
      </c>
      <c r="R153">
        <f>'2- Prijzen'!Y61</f>
        <v>1.2548321156064686</v>
      </c>
      <c r="S153">
        <f>'2- Prijzen'!Z61</f>
        <v>1.2548321156064686</v>
      </c>
      <c r="T153">
        <f>'2- Prijzen'!AA61</f>
        <v>1.2548321156064686</v>
      </c>
      <c r="W153" s="1">
        <f t="shared" si="9"/>
        <v>1261434.1111943168</v>
      </c>
      <c r="X153" s="1">
        <f t="shared" si="10"/>
        <v>1510938</v>
      </c>
      <c r="Y153" s="1">
        <f t="shared" si="11"/>
        <v>1379813.4027985793</v>
      </c>
      <c r="Z153" s="1">
        <f t="shared" si="12"/>
        <v>754999.41999999993</v>
      </c>
      <c r="AA153" s="1">
        <f t="shared" si="13"/>
        <v>863535.3073326723</v>
      </c>
      <c r="AB153" s="1">
        <f t="shared" si="14"/>
        <v>831297.531833168</v>
      </c>
    </row>
    <row r="154" spans="1:28" x14ac:dyDescent="0.25">
      <c r="A154" s="4">
        <v>1736</v>
      </c>
      <c r="F154" s="1">
        <f>'1- Export'!AB62</f>
        <v>8423333</v>
      </c>
      <c r="G154" s="1">
        <f>'1- Export'!AC62</f>
        <v>10358201.578</v>
      </c>
      <c r="H154" s="1">
        <f>'1- Export'!AD62</f>
        <v>9643620.881000001</v>
      </c>
      <c r="I154" s="1">
        <f>'1- Export'!AE62</f>
        <v>800606.14284999995</v>
      </c>
      <c r="J154" s="1">
        <f>'1- Export'!AF62</f>
        <v>879508.85722000001</v>
      </c>
      <c r="K154" s="1">
        <f>'1- Export'!AG62</f>
        <v>822726.03573</v>
      </c>
      <c r="M154">
        <f>'2- Prijzen'!S62</f>
        <v>0.2226315043817928</v>
      </c>
      <c r="N154">
        <f>'2- Prijzen'!T62</f>
        <v>0.2226315043817928</v>
      </c>
      <c r="O154">
        <f>'2- Prijzen'!U62</f>
        <v>0.2226315043817928</v>
      </c>
      <c r="P154">
        <f>'2- Prijzen'!V62</f>
        <v>0.23679896375154322</v>
      </c>
      <c r="Q154">
        <f>'2- Prijzen'!X62</f>
        <v>1.2548321156064686</v>
      </c>
      <c r="R154">
        <f>'2- Prijzen'!Y62</f>
        <v>1.2548321156064686</v>
      </c>
      <c r="S154">
        <f>'2- Prijzen'!Z62</f>
        <v>1.2548321156064686</v>
      </c>
      <c r="T154">
        <f>'2- Prijzen'!AA62</f>
        <v>1.219946973223502</v>
      </c>
      <c r="W154" s="1">
        <f t="shared" si="9"/>
        <v>1875299.2976988</v>
      </c>
      <c r="X154" s="1">
        <f t="shared" si="10"/>
        <v>2306062</v>
      </c>
      <c r="Y154" s="1">
        <f t="shared" si="11"/>
        <v>2146973.8244247003</v>
      </c>
      <c r="Z154" s="1">
        <f t="shared" si="12"/>
        <v>1004626.3</v>
      </c>
      <c r="AA154" s="1">
        <f t="shared" si="13"/>
        <v>1103635.9600000002</v>
      </c>
      <c r="AB154" s="1">
        <f t="shared" si="14"/>
        <v>1032383.0519795989</v>
      </c>
    </row>
    <row r="155" spans="1:28" x14ac:dyDescent="0.25">
      <c r="A155" s="4">
        <v>1737</v>
      </c>
      <c r="F155" s="1">
        <f>'1- Export'!AB63</f>
        <v>7114883</v>
      </c>
      <c r="G155" s="1">
        <f>'1- Export'!AC63</f>
        <v>8522163.1380000003</v>
      </c>
      <c r="H155" s="1">
        <f>'1- Export'!AD63</f>
        <v>8029058.068</v>
      </c>
      <c r="I155" s="1">
        <f>'1- Export'!AE63</f>
        <v>1604049.35048</v>
      </c>
      <c r="J155" s="1">
        <f>'1- Export'!AF63</f>
        <v>1628214</v>
      </c>
      <c r="K155" s="1">
        <f>'1- Export'!AG63</f>
        <v>1612560.9628599999</v>
      </c>
      <c r="M155">
        <f>'2- Prijzen'!S63</f>
        <v>0.2226315043817928</v>
      </c>
      <c r="N155">
        <f>'2- Prijzen'!T63</f>
        <v>0.2226315043817928</v>
      </c>
      <c r="O155">
        <f>'2- Prijzen'!U63</f>
        <v>0.2226315043817928</v>
      </c>
      <c r="P155">
        <f>'2- Prijzen'!V63</f>
        <v>0.24875111821732884</v>
      </c>
      <c r="Q155">
        <f>'2- Prijzen'!X63</f>
        <v>1.2548321156064686</v>
      </c>
      <c r="R155">
        <f>'2- Prijzen'!Y63</f>
        <v>1.2548321156064686</v>
      </c>
      <c r="S155">
        <f>'2- Prijzen'!Z63</f>
        <v>1.2548321156064686</v>
      </c>
      <c r="T155">
        <f>'2- Prijzen'!AA63</f>
        <v>1.1810618308405352</v>
      </c>
      <c r="W155" s="1">
        <f t="shared" si="9"/>
        <v>1583997.105790443</v>
      </c>
      <c r="X155" s="1">
        <f t="shared" si="10"/>
        <v>1897302.0000000002</v>
      </c>
      <c r="Y155" s="1">
        <f t="shared" si="11"/>
        <v>1787521.2764476109</v>
      </c>
      <c r="Z155" s="1">
        <f t="shared" si="12"/>
        <v>2012812.6400000001</v>
      </c>
      <c r="AA155" s="1">
        <f t="shared" si="13"/>
        <v>2043135.2182800707</v>
      </c>
      <c r="AB155" s="1">
        <f t="shared" si="14"/>
        <v>2023493.2845700176</v>
      </c>
    </row>
    <row r="156" spans="1:28" x14ac:dyDescent="0.25">
      <c r="A156" s="4">
        <v>1738</v>
      </c>
      <c r="F156" s="1">
        <f>'1- Export'!AB64</f>
        <v>7473923</v>
      </c>
      <c r="G156" s="1">
        <f>'1- Export'!AC64</f>
        <v>8952219.0739999991</v>
      </c>
      <c r="H156" s="1">
        <f>'1- Export'!AD64</f>
        <v>8430737.0850000009</v>
      </c>
      <c r="I156" s="1">
        <f>'1- Export'!AE64</f>
        <v>1186437.56522</v>
      </c>
      <c r="J156" s="1">
        <f>'1- Export'!AF64</f>
        <v>1200630</v>
      </c>
      <c r="K156" s="1">
        <f>'1- Export'!AG64</f>
        <v>1189986.1680049999</v>
      </c>
      <c r="M156">
        <f>'2- Prijzen'!S64</f>
        <v>0.2226315043817928</v>
      </c>
      <c r="N156">
        <f>'2- Prijzen'!T64</f>
        <v>0.2226315043817928</v>
      </c>
      <c r="O156">
        <f>'2- Prijzen'!U64</f>
        <v>0.2226315043817928</v>
      </c>
      <c r="P156">
        <f>'2- Prijzen'!V64</f>
        <v>0.25870327268311444</v>
      </c>
      <c r="Q156">
        <f>'2- Prijzen'!X64</f>
        <v>1.2548321156064686</v>
      </c>
      <c r="R156">
        <f>'2- Prijzen'!Y64</f>
        <v>1.2548321156064686</v>
      </c>
      <c r="S156">
        <f>'2- Prijzen'!Z64</f>
        <v>1.2548321156064686</v>
      </c>
      <c r="T156">
        <f>'2- Prijzen'!AA64</f>
        <v>1.1421766884575686</v>
      </c>
      <c r="W156" s="1">
        <f t="shared" si="9"/>
        <v>1663930.7211236821</v>
      </c>
      <c r="X156" s="1">
        <f t="shared" si="10"/>
        <v>1993045.9999999998</v>
      </c>
      <c r="Y156" s="1">
        <f t="shared" si="11"/>
        <v>1876947.6802809208</v>
      </c>
      <c r="Z156" s="1">
        <f t="shared" si="12"/>
        <v>1488779.9600000002</v>
      </c>
      <c r="AA156" s="1">
        <f t="shared" si="13"/>
        <v>1506589.0829605944</v>
      </c>
      <c r="AB156" s="1">
        <f t="shared" si="14"/>
        <v>1493232.8607401485</v>
      </c>
    </row>
    <row r="157" spans="1:28" x14ac:dyDescent="0.25">
      <c r="A157" s="4">
        <v>1739</v>
      </c>
      <c r="F157" s="1">
        <f>'1- Export'!AB65</f>
        <v>6313230</v>
      </c>
      <c r="G157" s="1">
        <f>'1- Export'!AC65</f>
        <v>7561948.6319999993</v>
      </c>
      <c r="H157" s="1">
        <f>'1- Export'!AD65</f>
        <v>7080654.3192499997</v>
      </c>
      <c r="I157" s="1">
        <f>'1- Export'!AE65</f>
        <v>1573642.55779</v>
      </c>
      <c r="J157" s="1">
        <f>'1- Export'!AF65</f>
        <v>1592467</v>
      </c>
      <c r="K157" s="1">
        <f>'1- Export'!AG65</f>
        <v>1578349.1624324999</v>
      </c>
      <c r="M157">
        <f>'2- Prijzen'!S65</f>
        <v>0.2226315043817928</v>
      </c>
      <c r="N157">
        <f>'2- Prijzen'!T65</f>
        <v>0.2226315043817928</v>
      </c>
      <c r="O157">
        <f>'2- Prijzen'!U65</f>
        <v>0.2226315043817928</v>
      </c>
      <c r="P157">
        <f>'2- Prijzen'!V65</f>
        <v>0.27165542714890006</v>
      </c>
      <c r="Q157">
        <f>'2- Prijzen'!X65</f>
        <v>1.2548321156064686</v>
      </c>
      <c r="R157">
        <f>'2- Prijzen'!Y65</f>
        <v>1.2548321156064686</v>
      </c>
      <c r="S157">
        <f>'2- Prijzen'!Z65</f>
        <v>1.2548321156064686</v>
      </c>
      <c r="T157">
        <f>'2- Prijzen'!AA65</f>
        <v>1.1012915460746018</v>
      </c>
      <c r="W157" s="1">
        <f t="shared" si="9"/>
        <v>1405523.8924082657</v>
      </c>
      <c r="X157" s="1">
        <f t="shared" si="10"/>
        <v>1683528</v>
      </c>
      <c r="Y157" s="1">
        <f t="shared" si="11"/>
        <v>1576376.7231020664</v>
      </c>
      <c r="Z157" s="1">
        <f t="shared" si="12"/>
        <v>1974657.2200000002</v>
      </c>
      <c r="AA157" s="1">
        <f t="shared" si="13"/>
        <v>1998278.7346434861</v>
      </c>
      <c r="AB157" s="1">
        <f t="shared" si="14"/>
        <v>1980563.2186608715</v>
      </c>
    </row>
    <row r="158" spans="1:28" x14ac:dyDescent="0.25">
      <c r="A158" s="4">
        <v>1740</v>
      </c>
      <c r="F158" s="1">
        <f>'1- Export'!AB66</f>
        <v>7995240</v>
      </c>
      <c r="G158" s="1">
        <f>'1- Export'!AC66</f>
        <v>9575068.9279999994</v>
      </c>
      <c r="H158" s="1">
        <f>'1- Export'!AD66</f>
        <v>9010144.7359999996</v>
      </c>
      <c r="I158" s="1">
        <f>'1- Export'!AE66</f>
        <v>2456242.9361399999</v>
      </c>
      <c r="J158" s="1">
        <f>'1- Export'!AF66</f>
        <v>2524306.7981799999</v>
      </c>
      <c r="K158" s="1">
        <f>'1- Export'!AG66</f>
        <v>2480603.9176150002</v>
      </c>
      <c r="M158">
        <f>'2- Prijzen'!S66</f>
        <v>0.36430609807929731</v>
      </c>
      <c r="N158">
        <f>'2- Prijzen'!T66</f>
        <v>0.36430609807929731</v>
      </c>
      <c r="O158">
        <f>'2- Prijzen'!U66</f>
        <v>0.36430609807929731</v>
      </c>
      <c r="P158">
        <f>'2- Prijzen'!V66</f>
        <v>0.28560758161468558</v>
      </c>
      <c r="Q158">
        <f>'2- Prijzen'!X66</f>
        <v>0.8</v>
      </c>
      <c r="R158">
        <f>'2- Prijzen'!Y66</f>
        <v>1.0119613835536037</v>
      </c>
      <c r="S158">
        <f>'2- Prijzen'!Z66</f>
        <v>0.90598069177680185</v>
      </c>
      <c r="T158">
        <f>'2- Prijzen'!AA66</f>
        <v>1.0694064036916351</v>
      </c>
      <c r="W158" s="1">
        <f t="shared" si="9"/>
        <v>2912714.6876075212</v>
      </c>
      <c r="X158" s="1">
        <f t="shared" si="10"/>
        <v>3488256</v>
      </c>
      <c r="Y158" s="1">
        <f t="shared" si="11"/>
        <v>3282450.6719018803</v>
      </c>
      <c r="Z158" s="1">
        <f t="shared" si="12"/>
        <v>1964994.348912</v>
      </c>
      <c r="AA158" s="1">
        <f t="shared" si="13"/>
        <v>2554501</v>
      </c>
      <c r="AB158" s="1">
        <f t="shared" si="14"/>
        <v>2247379.2533050827</v>
      </c>
    </row>
    <row r="159" spans="1:28" x14ac:dyDescent="0.25">
      <c r="A159" s="4">
        <v>1741</v>
      </c>
      <c r="F159" s="1">
        <f>'1- Export'!AB67</f>
        <v>8369790</v>
      </c>
      <c r="G159" s="1">
        <f>'1- Export'!AC67</f>
        <v>10025086.1</v>
      </c>
      <c r="H159" s="1">
        <f>'1- Export'!AD67</f>
        <v>9465826.6834999993</v>
      </c>
      <c r="I159" s="1">
        <f>'1- Export'!AE67</f>
        <v>2402980.5282299998</v>
      </c>
      <c r="J159" s="1">
        <f>'1- Export'!AF67</f>
        <v>2431724</v>
      </c>
      <c r="K159" s="1">
        <f>'1- Export'!AG67</f>
        <v>2410281.3956200001</v>
      </c>
      <c r="M159">
        <f>'2- Prijzen'!S67</f>
        <v>0.32</v>
      </c>
      <c r="N159">
        <f>'2- Prijzen'!T67</f>
        <v>0.36430609807929731</v>
      </c>
      <c r="O159">
        <f>'2- Prijzen'!U67</f>
        <v>0.34215304903964866</v>
      </c>
      <c r="P159">
        <f>'2- Prijzen'!V67</f>
        <v>0.30055973608047121</v>
      </c>
      <c r="Q159">
        <f>'2- Prijzen'!X67</f>
        <v>0.72</v>
      </c>
      <c r="R159">
        <f>'2- Prijzen'!Y67</f>
        <v>1.0119613835536037</v>
      </c>
      <c r="S159">
        <f>'2- Prijzen'!Z67</f>
        <v>0.86598069177680181</v>
      </c>
      <c r="T159">
        <f>'2- Prijzen'!AA67</f>
        <v>1.0445212613086685</v>
      </c>
      <c r="W159" s="1">
        <f t="shared" si="9"/>
        <v>2678332.8000000003</v>
      </c>
      <c r="X159" s="1">
        <f t="shared" si="10"/>
        <v>3652200</v>
      </c>
      <c r="Y159" s="1">
        <f t="shared" si="11"/>
        <v>3238761.46144039</v>
      </c>
      <c r="Z159" s="1">
        <f t="shared" si="12"/>
        <v>1730145.9803255999</v>
      </c>
      <c r="AA159" s="1">
        <f t="shared" si="13"/>
        <v>2460810.7834605034</v>
      </c>
      <c r="AB159" s="1">
        <f t="shared" si="14"/>
        <v>2087257.150355763</v>
      </c>
    </row>
    <row r="160" spans="1:28" x14ac:dyDescent="0.25">
      <c r="A160" s="4">
        <v>1742</v>
      </c>
      <c r="F160" s="1">
        <f>'1- Export'!AB68</f>
        <v>10128690</v>
      </c>
      <c r="G160" s="1">
        <f>'1- Export'!AC68</f>
        <v>12132182.313999999</v>
      </c>
      <c r="H160" s="1">
        <f>'1- Export'!AD68</f>
        <v>11445086.714499999</v>
      </c>
      <c r="I160" s="1">
        <f>'1- Export'!AE68</f>
        <v>1366505.7011799999</v>
      </c>
      <c r="J160" s="1">
        <f>'1- Export'!AF68</f>
        <v>1378351</v>
      </c>
      <c r="K160" s="1">
        <f>'1- Export'!AG68</f>
        <v>1372062.23361</v>
      </c>
      <c r="M160">
        <f>'2- Prijzen'!S68</f>
        <v>0.28000000000000003</v>
      </c>
      <c r="N160">
        <f>'2- Prijzen'!T68</f>
        <v>0.36430609807929731</v>
      </c>
      <c r="O160">
        <f>'2- Prijzen'!U68</f>
        <v>0.3221530490396487</v>
      </c>
      <c r="P160">
        <f>'2- Prijzen'!V68</f>
        <v>0.31751189054625673</v>
      </c>
      <c r="Q160">
        <f>'2- Prijzen'!X68</f>
        <v>0.72</v>
      </c>
      <c r="R160">
        <f>'2- Prijzen'!Y68</f>
        <v>1.0119613835536037</v>
      </c>
      <c r="S160">
        <f>'2- Prijzen'!Z68</f>
        <v>0.86598069177680181</v>
      </c>
      <c r="T160">
        <f>'2- Prijzen'!AA68</f>
        <v>1.039636118925702</v>
      </c>
      <c r="W160" s="1">
        <f t="shared" si="9"/>
        <v>2836033.2</v>
      </c>
      <c r="X160" s="1">
        <f t="shared" si="10"/>
        <v>4419828</v>
      </c>
      <c r="Y160" s="1">
        <f t="shared" si="11"/>
        <v>3687069.5815993501</v>
      </c>
      <c r="Z160" s="1">
        <f t="shared" si="12"/>
        <v>983884.10484959988</v>
      </c>
      <c r="AA160" s="1">
        <f t="shared" si="13"/>
        <v>1394837.9849824931</v>
      </c>
      <c r="AB160" s="1">
        <f t="shared" si="14"/>
        <v>1188179.4022224117</v>
      </c>
    </row>
    <row r="161" spans="1:28" x14ac:dyDescent="0.25">
      <c r="A161" s="4">
        <v>1743</v>
      </c>
      <c r="F161" s="1">
        <f>'1- Export'!AB69</f>
        <v>6513540</v>
      </c>
      <c r="G161" s="1">
        <f>'1- Export'!AC69</f>
        <v>7801977.5539999995</v>
      </c>
      <c r="H161" s="1">
        <f>'1- Export'!AD69</f>
        <v>7332184.6645</v>
      </c>
      <c r="I161" s="1">
        <f>'1- Export'!AE69</f>
        <v>1376561.42086</v>
      </c>
      <c r="J161" s="1">
        <f>'1- Export'!AF69</f>
        <v>1503507</v>
      </c>
      <c r="K161" s="1">
        <f>'1- Export'!AG69</f>
        <v>1462884.8788449999</v>
      </c>
      <c r="M161">
        <f>'2- Prijzen'!S69</f>
        <v>0.34</v>
      </c>
      <c r="N161">
        <f>'2- Prijzen'!T69</f>
        <v>0.36430609807929731</v>
      </c>
      <c r="O161">
        <f>'2- Prijzen'!U69</f>
        <v>0.35215304903964867</v>
      </c>
      <c r="P161">
        <f>'2- Prijzen'!V69</f>
        <v>0.33446404501204235</v>
      </c>
      <c r="Q161">
        <f>'2- Prijzen'!X69</f>
        <v>0.68</v>
      </c>
      <c r="R161">
        <f>'2- Prijzen'!Y69</f>
        <v>1.0119613835536037</v>
      </c>
      <c r="S161">
        <f>'2- Prijzen'!Z69</f>
        <v>0.8459806917768018</v>
      </c>
      <c r="T161">
        <f>'2- Prijzen'!AA69</f>
        <v>1.0337509765427351</v>
      </c>
      <c r="W161" s="1">
        <f t="shared" si="9"/>
        <v>2214603.6</v>
      </c>
      <c r="X161" s="1">
        <f t="shared" si="10"/>
        <v>2842308</v>
      </c>
      <c r="Y161" s="1">
        <f t="shared" si="11"/>
        <v>2582051.1857254286</v>
      </c>
      <c r="Z161" s="1">
        <f t="shared" si="12"/>
        <v>936061.76618480007</v>
      </c>
      <c r="AA161" s="1">
        <f t="shared" si="13"/>
        <v>1521491.023902528</v>
      </c>
      <c r="AB161" s="1">
        <f t="shared" si="14"/>
        <v>1237572.361795116</v>
      </c>
    </row>
    <row r="162" spans="1:28" x14ac:dyDescent="0.25">
      <c r="A162" s="4">
        <v>1744</v>
      </c>
      <c r="F162" s="1">
        <f>'1- Export'!AB70</f>
        <v>7372860</v>
      </c>
      <c r="G162" s="1">
        <f>'1- Export'!AC70</f>
        <v>8831265.8420000002</v>
      </c>
      <c r="H162" s="1">
        <f>'1- Export'!AD70</f>
        <v>8291213.022499999</v>
      </c>
      <c r="I162" s="1">
        <f>'1- Export'!AE70</f>
        <v>1718010.7148899999</v>
      </c>
      <c r="J162" s="1">
        <f>'1- Export'!AF70</f>
        <v>1748561</v>
      </c>
      <c r="K162" s="1">
        <f>'1- Export'!AG70</f>
        <v>1730589.1861675</v>
      </c>
      <c r="M162">
        <f>'2- Prijzen'!S70</f>
        <v>0.36</v>
      </c>
      <c r="N162">
        <f>'2- Prijzen'!T70</f>
        <v>0.36430609807929731</v>
      </c>
      <c r="O162">
        <f>'2- Prijzen'!U70</f>
        <v>0.36215304903964862</v>
      </c>
      <c r="P162">
        <f>'2- Prijzen'!V70</f>
        <v>0.34841619947782798</v>
      </c>
      <c r="Q162">
        <f>'2- Prijzen'!X70</f>
        <v>0.86</v>
      </c>
      <c r="R162">
        <f>'2- Prijzen'!Y70</f>
        <v>1.0119613835536037</v>
      </c>
      <c r="S162">
        <f>'2- Prijzen'!Z70</f>
        <v>0.93598069177680188</v>
      </c>
      <c r="T162">
        <f>'2- Prijzen'!AA70</f>
        <v>1.0328658341597685</v>
      </c>
      <c r="W162" s="1">
        <f t="shared" si="9"/>
        <v>2654229.6</v>
      </c>
      <c r="X162" s="1">
        <f t="shared" si="10"/>
        <v>3217284.0000000005</v>
      </c>
      <c r="Y162" s="1">
        <f t="shared" si="11"/>
        <v>3002688.0763356155</v>
      </c>
      <c r="Z162" s="1">
        <f t="shared" si="12"/>
        <v>1477489.2148054</v>
      </c>
      <c r="AA162" s="1">
        <f t="shared" si="13"/>
        <v>1769476.2087878727</v>
      </c>
      <c r="AB162" s="1">
        <f t="shared" si="14"/>
        <v>1619798.0636505091</v>
      </c>
    </row>
    <row r="163" spans="1:28" x14ac:dyDescent="0.25">
      <c r="A163" s="4">
        <v>1745</v>
      </c>
      <c r="F163" s="1">
        <f>'1- Export'!AB71</f>
        <v>7541490</v>
      </c>
      <c r="G163" s="1">
        <f>'1- Export'!AC71</f>
        <v>9033249.8339999989</v>
      </c>
      <c r="H163" s="1">
        <f>'1- Export'!AD71</f>
        <v>8483277.4285000004</v>
      </c>
      <c r="I163" s="1">
        <f>'1- Export'!AE71</f>
        <v>1158657.35497</v>
      </c>
      <c r="J163" s="1">
        <f>'1- Export'!AF71</f>
        <v>1196388</v>
      </c>
      <c r="K163" s="1">
        <f>'1- Export'!AG71</f>
        <v>1179884.6856624999</v>
      </c>
      <c r="M163">
        <f>'2- Prijzen'!S71</f>
        <v>0.36430609807929731</v>
      </c>
      <c r="N163">
        <f>'2- Prijzen'!T71</f>
        <v>0.38</v>
      </c>
      <c r="O163">
        <f>'2- Prijzen'!U71</f>
        <v>0.37215304903964863</v>
      </c>
      <c r="P163">
        <f>'2- Prijzen'!V71</f>
        <v>0.36258365884757832</v>
      </c>
      <c r="Q163">
        <f>'2- Prijzen'!X71</f>
        <v>1</v>
      </c>
      <c r="R163">
        <f>'2- Prijzen'!Y71</f>
        <v>1.0119613835536037</v>
      </c>
      <c r="S163">
        <f>'2- Prijzen'!Z71</f>
        <v>1.0059806917768017</v>
      </c>
      <c r="T163">
        <f>'2- Prijzen'!AA71</f>
        <v>1.0085787609544821</v>
      </c>
      <c r="W163" s="1">
        <f t="shared" si="9"/>
        <v>2747410.7956040399</v>
      </c>
      <c r="X163" s="1">
        <f t="shared" si="10"/>
        <v>3432634.9369199998</v>
      </c>
      <c r="Y163" s="1">
        <f t="shared" si="11"/>
        <v>3157077.5608655051</v>
      </c>
      <c r="Z163" s="1">
        <f t="shared" si="12"/>
        <v>1158657.35497</v>
      </c>
      <c r="AA163" s="1">
        <f t="shared" si="13"/>
        <v>1210698.4557469287</v>
      </c>
      <c r="AB163" s="1">
        <f t="shared" si="14"/>
        <v>1186941.2122996158</v>
      </c>
    </row>
    <row r="164" spans="1:28" x14ac:dyDescent="0.25">
      <c r="A164" s="4">
        <v>1746</v>
      </c>
      <c r="F164" s="1">
        <f>'1- Export'!AB72</f>
        <v>6498030</v>
      </c>
      <c r="G164" s="1">
        <f>'1- Export'!AC72</f>
        <v>7783399.7699999996</v>
      </c>
      <c r="H164" s="1">
        <f>'1- Export'!AD72</f>
        <v>7329888.2524999995</v>
      </c>
      <c r="I164" s="1">
        <f>'1- Export'!AE72</f>
        <v>1228789.97184</v>
      </c>
      <c r="J164" s="1">
        <f>'1- Export'!AF72</f>
        <v>1288932</v>
      </c>
      <c r="K164" s="1">
        <f>'1- Export'!AG72</f>
        <v>1266278.90484</v>
      </c>
      <c r="M164">
        <f>'2- Prijzen'!S72</f>
        <v>0.36430609807929731</v>
      </c>
      <c r="N164">
        <f>'2- Prijzen'!T72</f>
        <v>0.42</v>
      </c>
      <c r="O164">
        <f>'2- Prijzen'!U72</f>
        <v>0.39215304903964865</v>
      </c>
      <c r="P164">
        <f>'2- Prijzen'!V72</f>
        <v>0.35334443117650632</v>
      </c>
      <c r="Q164">
        <f>'2- Prijzen'!X72</f>
        <v>1.0119613835536037</v>
      </c>
      <c r="R164">
        <f>'2- Prijzen'!Y72</f>
        <v>1.4</v>
      </c>
      <c r="S164">
        <f>'2- Prijzen'!Z72</f>
        <v>1.2059806917768019</v>
      </c>
      <c r="T164">
        <f>'2- Prijzen'!AA72</f>
        <v>1.0145309154202677</v>
      </c>
      <c r="W164" s="1">
        <f t="shared" si="9"/>
        <v>2367271.9545022165</v>
      </c>
      <c r="X164" s="1">
        <f t="shared" si="10"/>
        <v>3269027.9033999997</v>
      </c>
      <c r="Y164" s="1">
        <f t="shared" si="11"/>
        <v>2874438.027337777</v>
      </c>
      <c r="Z164" s="1">
        <f t="shared" si="12"/>
        <v>1243488</v>
      </c>
      <c r="AA164" s="1">
        <f t="shared" si="13"/>
        <v>1804504.7999999998</v>
      </c>
      <c r="AB164" s="1">
        <f t="shared" si="14"/>
        <v>1527107.9096413143</v>
      </c>
    </row>
    <row r="165" spans="1:28" x14ac:dyDescent="0.25">
      <c r="A165" s="4">
        <v>1747</v>
      </c>
      <c r="F165" s="1">
        <f>'1- Export'!AB73</f>
        <v>5984220</v>
      </c>
      <c r="G165" s="1">
        <f>'1- Export'!AC73</f>
        <v>7168060.0839999998</v>
      </c>
      <c r="H165" s="1">
        <f>'1- Export'!AD73</f>
        <v>6692053.6669999994</v>
      </c>
      <c r="I165" s="1">
        <f>'1- Export'!AE73</f>
        <v>2025715.6382799998</v>
      </c>
      <c r="J165" s="1">
        <f>'1- Export'!AF73</f>
        <v>2050001</v>
      </c>
      <c r="K165" s="1">
        <f>'1- Export'!AG73</f>
        <v>2031813.906615</v>
      </c>
      <c r="M165">
        <f>'2- Prijzen'!S73</f>
        <v>0.36430609807929731</v>
      </c>
      <c r="N165">
        <f>'2- Prijzen'!T73</f>
        <v>0.42</v>
      </c>
      <c r="O165">
        <f>'2- Prijzen'!U73</f>
        <v>0.39215304903964865</v>
      </c>
      <c r="P165">
        <f>'2- Prijzen'!V73</f>
        <v>0.34732050840939904</v>
      </c>
      <c r="Q165">
        <f>'2- Prijzen'!X73</f>
        <v>1.0119613835536037</v>
      </c>
      <c r="R165">
        <f>'2- Prijzen'!Y73</f>
        <v>1.38</v>
      </c>
      <c r="S165">
        <f>'2- Prijzen'!Z73</f>
        <v>1.1959806917768017</v>
      </c>
      <c r="T165">
        <f>'2- Prijzen'!AA73</f>
        <v>1.0224830698860532</v>
      </c>
      <c r="W165" s="1">
        <f t="shared" si="9"/>
        <v>2180087.8382480927</v>
      </c>
      <c r="X165" s="1">
        <f t="shared" si="10"/>
        <v>3010585.2352799997</v>
      </c>
      <c r="Y165" s="1">
        <f t="shared" si="11"/>
        <v>2624309.2498510112</v>
      </c>
      <c r="Z165" s="1">
        <f t="shared" si="12"/>
        <v>2049946</v>
      </c>
      <c r="AA165" s="1">
        <f t="shared" si="13"/>
        <v>2829001.38</v>
      </c>
      <c r="AB165" s="1">
        <f t="shared" si="14"/>
        <v>2430010.2015951336</v>
      </c>
    </row>
    <row r="166" spans="1:28" x14ac:dyDescent="0.25">
      <c r="A166" s="4">
        <v>1748</v>
      </c>
      <c r="F166" s="1">
        <f>'1- Export'!AB74</f>
        <v>6622770</v>
      </c>
      <c r="G166" s="1">
        <f>'1- Export'!AC74</f>
        <v>7932713.7679999992</v>
      </c>
      <c r="H166" s="1">
        <f>'1- Export'!AD74</f>
        <v>7400773.3839999996</v>
      </c>
      <c r="I166" s="1">
        <f>'1- Export'!AE74</f>
        <v>695440.07452999998</v>
      </c>
      <c r="J166" s="1">
        <f>'1- Export'!AF74</f>
        <v>703774</v>
      </c>
      <c r="K166" s="1">
        <f>'1- Export'!AG74</f>
        <v>697530.96724750008</v>
      </c>
      <c r="M166">
        <f>'2- Prijzen'!S74</f>
        <v>0.36</v>
      </c>
      <c r="N166">
        <f>'2- Prijzen'!T74</f>
        <v>0.36430609807929731</v>
      </c>
      <c r="O166">
        <f>'2- Prijzen'!U74</f>
        <v>0.36215304903964862</v>
      </c>
      <c r="P166">
        <f>'2- Prijzen'!V74</f>
        <v>0.34329658564229193</v>
      </c>
      <c r="Q166">
        <f>'2- Prijzen'!X74</f>
        <v>1.0119613835536037</v>
      </c>
      <c r="R166">
        <f>'2- Prijzen'!Y74</f>
        <v>1.48</v>
      </c>
      <c r="S166">
        <f>'2- Prijzen'!Z74</f>
        <v>1.2459806917768019</v>
      </c>
      <c r="T166">
        <f>'2- Prijzen'!AA74</f>
        <v>1.0304352243518389</v>
      </c>
      <c r="W166" s="1">
        <f t="shared" si="9"/>
        <v>2384197.1999999997</v>
      </c>
      <c r="X166" s="1">
        <f t="shared" si="10"/>
        <v>2889936</v>
      </c>
      <c r="Y166" s="1">
        <f t="shared" si="11"/>
        <v>2680212.6462670784</v>
      </c>
      <c r="Z166" s="1">
        <f t="shared" si="12"/>
        <v>703758.5</v>
      </c>
      <c r="AA166" s="1">
        <f t="shared" si="13"/>
        <v>1041585.52</v>
      </c>
      <c r="AB166" s="1">
        <f t="shared" si="14"/>
        <v>869110.11710678192</v>
      </c>
    </row>
    <row r="167" spans="1:28" x14ac:dyDescent="0.25">
      <c r="A167" s="4">
        <v>1749</v>
      </c>
      <c r="F167" s="1">
        <f>'1- Export'!AB75</f>
        <v>7504530</v>
      </c>
      <c r="G167" s="1">
        <f>'1- Export'!AC75</f>
        <v>8988979.3699999992</v>
      </c>
      <c r="H167" s="1">
        <f>'1- Export'!AD75</f>
        <v>8414944.2644999996</v>
      </c>
      <c r="I167" s="1">
        <f>'1- Export'!AE75</f>
        <v>1559445.37573</v>
      </c>
      <c r="J167" s="1">
        <f>'1- Export'!AF75</f>
        <v>1583511</v>
      </c>
      <c r="K167" s="1">
        <f>'1- Export'!AG75</f>
        <v>1568135.7968774999</v>
      </c>
      <c r="M167">
        <f>'2- Prijzen'!S75</f>
        <v>0.36430609807929731</v>
      </c>
      <c r="N167">
        <f>'2- Prijzen'!T75</f>
        <v>0.36430609807929731</v>
      </c>
      <c r="O167">
        <f>'2- Prijzen'!U75</f>
        <v>0.36430609807929731</v>
      </c>
      <c r="P167">
        <f>'2- Prijzen'!V75</f>
        <v>0.33727266287518465</v>
      </c>
      <c r="Q167">
        <f>'2- Prijzen'!X75</f>
        <v>1.0119613835536037</v>
      </c>
      <c r="R167">
        <f>'2- Prijzen'!Y75</f>
        <v>1.0119613835536037</v>
      </c>
      <c r="S167">
        <f>'2- Prijzen'!Z75</f>
        <v>1.0119613835536037</v>
      </c>
      <c r="T167">
        <f>'2- Prijzen'!AA75</f>
        <v>1.0393873788176244</v>
      </c>
      <c r="W167" s="1">
        <f t="shared" si="9"/>
        <v>2733946.0422190293</v>
      </c>
      <c r="X167" s="1">
        <f t="shared" si="10"/>
        <v>3274740</v>
      </c>
      <c r="Y167" s="1">
        <f t="shared" si="11"/>
        <v>3065615.5105547574</v>
      </c>
      <c r="Z167" s="1">
        <f t="shared" si="12"/>
        <v>1578098.5</v>
      </c>
      <c r="AA167" s="1">
        <f t="shared" si="13"/>
        <v>1602451.9824323505</v>
      </c>
      <c r="AB167" s="1">
        <f t="shared" si="14"/>
        <v>1586892.8706080876</v>
      </c>
    </row>
    <row r="168" spans="1:28" x14ac:dyDescent="0.25">
      <c r="A168" s="4">
        <v>1750</v>
      </c>
      <c r="F168" s="1">
        <f>'1- Export'!AB76</f>
        <v>10148820</v>
      </c>
      <c r="G168" s="1">
        <f>'1- Export'!AC76</f>
        <v>12177737.411999999</v>
      </c>
      <c r="H168" s="1">
        <f>'1- Export'!AD76</f>
        <v>11559658.967499999</v>
      </c>
      <c r="I168" s="1">
        <f>'1- Export'!AE76</f>
        <v>1747269.73651</v>
      </c>
      <c r="J168" s="1">
        <f>'1- Export'!AF76</f>
        <v>1775474.3700699999</v>
      </c>
      <c r="K168" s="1">
        <f>'1- Export'!AG76</f>
        <v>1759563.377445</v>
      </c>
      <c r="M168">
        <f>'2- Prijzen'!S76</f>
        <v>0.22</v>
      </c>
      <c r="N168">
        <f>'2- Prijzen'!T76</f>
        <v>0.3238276427371532</v>
      </c>
      <c r="O168">
        <f>'2- Prijzen'!U76</f>
        <v>0.27191382136857661</v>
      </c>
      <c r="P168">
        <f>'2- Prijzen'!V76</f>
        <v>0.33124874010807753</v>
      </c>
      <c r="Q168">
        <f>'2- Prijzen'!X76</f>
        <v>0.93100447286931542</v>
      </c>
      <c r="R168">
        <f>'2- Prijzen'!Y76</f>
        <v>1</v>
      </c>
      <c r="S168">
        <f>'2- Prijzen'!Z76</f>
        <v>0.96550223643465771</v>
      </c>
      <c r="T168">
        <f>'2- Prijzen'!AA76</f>
        <v>1.03433953328341</v>
      </c>
      <c r="W168" s="1">
        <f t="shared" si="9"/>
        <v>2232740.4</v>
      </c>
      <c r="X168" s="1">
        <f t="shared" si="10"/>
        <v>3943488</v>
      </c>
      <c r="Y168" s="1">
        <f t="shared" si="11"/>
        <v>3143231.0435704598</v>
      </c>
      <c r="Z168" s="1">
        <f t="shared" si="12"/>
        <v>1626715.9400000002</v>
      </c>
      <c r="AA168" s="1">
        <f t="shared" si="13"/>
        <v>1775474.3700699999</v>
      </c>
      <c r="AB168" s="1">
        <f t="shared" si="14"/>
        <v>1698862.3760716673</v>
      </c>
    </row>
    <row r="169" spans="1:28" x14ac:dyDescent="0.25">
      <c r="A169" s="4">
        <v>1751</v>
      </c>
      <c r="F169" s="1">
        <f>'1- Export'!AB77</f>
        <v>9290820</v>
      </c>
      <c r="G169" s="1">
        <f>'1- Export'!AC77</f>
        <v>11128290.252</v>
      </c>
      <c r="H169" s="1">
        <f>'1- Export'!AD77</f>
        <v>10388674.841</v>
      </c>
      <c r="I169" s="1">
        <f>'1- Export'!AE77</f>
        <v>2089946.8441899999</v>
      </c>
      <c r="J169" s="1">
        <f>'1- Export'!AF77</f>
        <v>2165649</v>
      </c>
      <c r="K169" s="1">
        <f>'1- Export'!AG77</f>
        <v>2133924.4754574997</v>
      </c>
      <c r="M169">
        <f>'2- Prijzen'!S77</f>
        <v>0.24</v>
      </c>
      <c r="N169">
        <f>'2- Prijzen'!T77</f>
        <v>0.3238276427371532</v>
      </c>
      <c r="O169">
        <f>'2- Prijzen'!U77</f>
        <v>0.28191382136857657</v>
      </c>
      <c r="P169">
        <f>'2- Prijzen'!V77</f>
        <v>0.33122481734097026</v>
      </c>
      <c r="Q169">
        <f>'2- Prijzen'!X77</f>
        <v>0.93100447286931542</v>
      </c>
      <c r="R169">
        <f>'2- Prijzen'!Y77</f>
        <v>0.96</v>
      </c>
      <c r="S169">
        <f>'2- Prijzen'!Z77</f>
        <v>0.94550223643465769</v>
      </c>
      <c r="T169">
        <f>'2- Prijzen'!AA77</f>
        <v>1.0322916877491954</v>
      </c>
      <c r="W169" s="1">
        <f t="shared" si="9"/>
        <v>2229796.7999999998</v>
      </c>
      <c r="X169" s="1">
        <f t="shared" si="10"/>
        <v>3603648.0000000005</v>
      </c>
      <c r="Y169" s="1">
        <f t="shared" si="11"/>
        <v>2928711.0233818996</v>
      </c>
      <c r="Z169" s="1">
        <f t="shared" si="12"/>
        <v>1945749.86</v>
      </c>
      <c r="AA169" s="1">
        <f t="shared" si="13"/>
        <v>2079023.04</v>
      </c>
      <c r="AB169" s="1">
        <f t="shared" si="14"/>
        <v>2017630.3639277199</v>
      </c>
    </row>
    <row r="170" spans="1:28" x14ac:dyDescent="0.25">
      <c r="A170" s="4">
        <v>1752</v>
      </c>
      <c r="F170" s="1">
        <f>'1- Export'!AB78</f>
        <v>9346920</v>
      </c>
      <c r="G170" s="1">
        <f>'1- Export'!AC78</f>
        <v>11195684.127999999</v>
      </c>
      <c r="H170" s="1">
        <f>'1- Export'!AD78</f>
        <v>10558091.146</v>
      </c>
      <c r="I170" s="1">
        <f>'1- Export'!AE78</f>
        <v>2646583.2031999999</v>
      </c>
      <c r="J170" s="1">
        <f>'1- Export'!AF78</f>
        <v>2678240</v>
      </c>
      <c r="K170" s="1">
        <f>'1- Export'!AG78</f>
        <v>2654991.4923999999</v>
      </c>
      <c r="M170">
        <f>'2- Prijzen'!S78</f>
        <v>0.24</v>
      </c>
      <c r="N170">
        <f>'2- Prijzen'!T78</f>
        <v>0.3238276427371532</v>
      </c>
      <c r="O170">
        <f>'2- Prijzen'!U78</f>
        <v>0.28191382136857657</v>
      </c>
      <c r="P170">
        <f>'2- Prijzen'!V78</f>
        <v>0.32920089457386303</v>
      </c>
      <c r="Q170">
        <f>'2- Prijzen'!X78</f>
        <v>0.93100447286931542</v>
      </c>
      <c r="R170">
        <f>'2- Prijzen'!Y78</f>
        <v>0.96</v>
      </c>
      <c r="S170">
        <f>'2- Prijzen'!Z78</f>
        <v>0.94550223643465769</v>
      </c>
      <c r="T170">
        <f>'2- Prijzen'!AA78</f>
        <v>1.009243842214981</v>
      </c>
      <c r="W170" s="1">
        <f t="shared" si="9"/>
        <v>2243260.7999999998</v>
      </c>
      <c r="X170" s="1">
        <f t="shared" si="10"/>
        <v>3625472</v>
      </c>
      <c r="Y170" s="1">
        <f t="shared" si="11"/>
        <v>2976471.8213265939</v>
      </c>
      <c r="Z170" s="1">
        <f t="shared" si="12"/>
        <v>2463980.8000000003</v>
      </c>
      <c r="AA170" s="1">
        <f t="shared" si="13"/>
        <v>2571110.3999999999</v>
      </c>
      <c r="AB170" s="1">
        <f t="shared" si="14"/>
        <v>2510300.3937791893</v>
      </c>
    </row>
    <row r="171" spans="1:28" x14ac:dyDescent="0.25">
      <c r="A171" s="4">
        <v>1753</v>
      </c>
      <c r="F171" s="1">
        <f>'1- Export'!AB79</f>
        <v>5042400</v>
      </c>
      <c r="G171" s="1">
        <f>'1- Export'!AC79</f>
        <v>6039756.1599999992</v>
      </c>
      <c r="H171" s="1">
        <f>'1- Export'!AD79</f>
        <v>5644660.5700000003</v>
      </c>
      <c r="I171" s="1">
        <f>'1- Export'!AE79</f>
        <v>1394287.8877899998</v>
      </c>
      <c r="J171" s="1">
        <f>'1- Export'!AF79</f>
        <v>1444325</v>
      </c>
      <c r="K171" s="1">
        <f>'1- Export'!AG79</f>
        <v>1423279.7611974999</v>
      </c>
      <c r="M171">
        <f>'2- Prijzen'!S79</f>
        <v>0.26</v>
      </c>
      <c r="N171">
        <f>'2- Prijzen'!T79</f>
        <v>0.3238276427371532</v>
      </c>
      <c r="O171">
        <f>'2- Prijzen'!U79</f>
        <v>0.29191382136857658</v>
      </c>
      <c r="P171">
        <f>'2- Prijzen'!V79</f>
        <v>0.32617697180675587</v>
      </c>
      <c r="Q171">
        <f>'2- Prijzen'!X79</f>
        <v>0.93100447286931542</v>
      </c>
      <c r="R171">
        <f>'2- Prijzen'!Y79</f>
        <v>0.94</v>
      </c>
      <c r="S171">
        <f>'2- Prijzen'!Z79</f>
        <v>0.93550223643465769</v>
      </c>
      <c r="T171">
        <f>'2- Prijzen'!AA79</f>
        <v>0.97519599668076662</v>
      </c>
      <c r="W171" s="1">
        <f t="shared" si="9"/>
        <v>1311024</v>
      </c>
      <c r="X171" s="1">
        <f t="shared" si="10"/>
        <v>1955840</v>
      </c>
      <c r="Y171" s="1">
        <f t="shared" si="11"/>
        <v>1647754.4373172277</v>
      </c>
      <c r="Z171" s="1">
        <f t="shared" si="12"/>
        <v>1298088.26</v>
      </c>
      <c r="AA171" s="1">
        <f t="shared" si="13"/>
        <v>1357665.5</v>
      </c>
      <c r="AB171" s="1">
        <f t="shared" si="14"/>
        <v>1331481.3996724468</v>
      </c>
    </row>
    <row r="172" spans="1:28" x14ac:dyDescent="0.25">
      <c r="A172" s="4">
        <v>1754</v>
      </c>
      <c r="F172" s="1">
        <f>'1- Export'!AB80</f>
        <v>6363720</v>
      </c>
      <c r="G172" s="1">
        <f>'1- Export'!AC80</f>
        <v>7622425.2479999997</v>
      </c>
      <c r="H172" s="1">
        <f>'1- Export'!AD80</f>
        <v>7145390.9619999994</v>
      </c>
      <c r="I172" s="1">
        <f>'1- Export'!AE80</f>
        <v>1376984.3618999999</v>
      </c>
      <c r="J172" s="1">
        <f>'1- Export'!AF80</f>
        <v>3175373</v>
      </c>
      <c r="K172" s="1">
        <f>'1- Export'!AG80</f>
        <v>2707009.139</v>
      </c>
      <c r="M172">
        <f>'2- Prijzen'!S80</f>
        <v>0.28000000000000003</v>
      </c>
      <c r="N172">
        <f>'2- Prijzen'!T80</f>
        <v>0.3238276427371532</v>
      </c>
      <c r="O172">
        <f>'2- Prijzen'!U80</f>
        <v>0.30191382136857658</v>
      </c>
      <c r="P172">
        <f>'2- Prijzen'!V80</f>
        <v>0.3291530490396487</v>
      </c>
      <c r="Q172">
        <f>'2- Prijzen'!X80</f>
        <v>0.84</v>
      </c>
      <c r="R172">
        <f>'2- Prijzen'!Y80</f>
        <v>0.93100447286931542</v>
      </c>
      <c r="S172">
        <f>'2- Prijzen'!Z80</f>
        <v>0.88550223643465764</v>
      </c>
      <c r="T172">
        <f>'2- Prijzen'!AA80</f>
        <v>0.93814815114655237</v>
      </c>
      <c r="W172" s="1">
        <f t="shared" si="9"/>
        <v>1781841.6</v>
      </c>
      <c r="X172" s="1">
        <f t="shared" si="10"/>
        <v>2468352.0000000005</v>
      </c>
      <c r="Y172" s="1">
        <f t="shared" si="11"/>
        <v>2157292.2905099094</v>
      </c>
      <c r="Z172" s="1">
        <f t="shared" si="12"/>
        <v>1156666.8639959998</v>
      </c>
      <c r="AA172" s="1">
        <f t="shared" si="13"/>
        <v>2956286.4660284566</v>
      </c>
      <c r="AB172" s="1">
        <f t="shared" si="14"/>
        <v>2397062.646633557</v>
      </c>
    </row>
    <row r="173" spans="1:28" x14ac:dyDescent="0.25">
      <c r="A173" s="4">
        <v>1755</v>
      </c>
      <c r="F173" s="1">
        <f>'1- Export'!AB81</f>
        <v>5417940</v>
      </c>
      <c r="G173" s="1">
        <f>'1- Export'!AC81</f>
        <v>6489378.0599999996</v>
      </c>
      <c r="H173" s="1">
        <f>'1- Export'!AD81</f>
        <v>6009257.4809999987</v>
      </c>
      <c r="I173" s="1">
        <f>'1- Export'!AE81</f>
        <v>1376984.3618999999</v>
      </c>
      <c r="J173" s="1">
        <f>'1- Export'!AF81</f>
        <v>1436286</v>
      </c>
      <c r="K173" s="1">
        <f>'1- Export'!AG81</f>
        <v>1413836.7977149999</v>
      </c>
      <c r="M173">
        <f>'2- Prijzen'!S81</f>
        <v>0.3238276427371532</v>
      </c>
      <c r="N173">
        <f>'2- Prijzen'!T81</f>
        <v>0.42</v>
      </c>
      <c r="O173">
        <f>'2- Prijzen'!U81</f>
        <v>0.37191382136857659</v>
      </c>
      <c r="P173">
        <f>'2- Prijzen'!V81</f>
        <v>0.32510520350543431</v>
      </c>
      <c r="Q173">
        <f>'2- Prijzen'!X81</f>
        <v>0.93100447286931542</v>
      </c>
      <c r="R173">
        <f>'2- Prijzen'!Y81</f>
        <v>1.04</v>
      </c>
      <c r="S173">
        <f>'2- Prijzen'!Z81</f>
        <v>0.98550223643465773</v>
      </c>
      <c r="T173">
        <f>'2- Prijzen'!AA81</f>
        <v>0.93005246007812337</v>
      </c>
      <c r="W173" s="1">
        <f t="shared" si="9"/>
        <v>1754478.7386913318</v>
      </c>
      <c r="X173" s="1">
        <f t="shared" si="10"/>
        <v>2725538.7851999998</v>
      </c>
      <c r="Y173" s="1">
        <f t="shared" si="11"/>
        <v>2234925.9133464159</v>
      </c>
      <c r="Z173" s="1">
        <f t="shared" si="12"/>
        <v>1281978.6000000001</v>
      </c>
      <c r="AA173" s="1">
        <f t="shared" si="13"/>
        <v>1493737.44</v>
      </c>
      <c r="AB173" s="1">
        <f t="shared" si="14"/>
        <v>1393339.3261017471</v>
      </c>
    </row>
    <row r="174" spans="1:28" x14ac:dyDescent="0.25">
      <c r="A174" s="4">
        <v>1756</v>
      </c>
      <c r="F174" s="1">
        <f>'1- Export'!AB82</f>
        <v>7425330</v>
      </c>
      <c r="G174" s="1">
        <f>'1- Export'!AC82</f>
        <v>8894015.2719999999</v>
      </c>
      <c r="H174" s="1">
        <f>'1- Export'!AD82</f>
        <v>8261616.4419999998</v>
      </c>
      <c r="I174" s="1">
        <f>'1- Export'!AE82</f>
        <v>3165936.0248999996</v>
      </c>
      <c r="J174" s="1">
        <f>'1- Export'!AF82</f>
        <v>3381814</v>
      </c>
      <c r="K174" s="1">
        <f>'1- Export'!AG82</f>
        <v>3307857.7384399995</v>
      </c>
      <c r="M174">
        <f>'2- Prijzen'!S82</f>
        <v>0.3238276427371532</v>
      </c>
      <c r="N174">
        <f>'2- Prijzen'!T82</f>
        <v>0.42</v>
      </c>
      <c r="O174">
        <f>'2- Prijzen'!U82</f>
        <v>0.37191382136857659</v>
      </c>
      <c r="P174">
        <f>'2- Prijzen'!V82</f>
        <v>0.3331171648889879</v>
      </c>
      <c r="Q174">
        <f>'2- Prijzen'!X82</f>
        <v>0.93100447286931542</v>
      </c>
      <c r="R174">
        <f>'2- Prijzen'!Y82</f>
        <v>1.02</v>
      </c>
      <c r="S174">
        <f>'2- Prijzen'!Z82</f>
        <v>0.97550223643465772</v>
      </c>
      <c r="T174">
        <f>'2- Prijzen'!AA82</f>
        <v>0.9109926531603556</v>
      </c>
      <c r="W174" s="1">
        <f t="shared" si="9"/>
        <v>2404527.1104454659</v>
      </c>
      <c r="X174" s="1">
        <f t="shared" si="10"/>
        <v>3735486.4142399998</v>
      </c>
      <c r="Y174" s="1">
        <f t="shared" si="11"/>
        <v>3072609.341625683</v>
      </c>
      <c r="Z174" s="1">
        <f t="shared" si="12"/>
        <v>2947500.6</v>
      </c>
      <c r="AA174" s="1">
        <f t="shared" si="13"/>
        <v>3449450.2800000003</v>
      </c>
      <c r="AB174" s="1">
        <f t="shared" si="14"/>
        <v>3226822.6216559084</v>
      </c>
    </row>
    <row r="175" spans="1:28" x14ac:dyDescent="0.25">
      <c r="A175" s="4">
        <v>1757</v>
      </c>
      <c r="F175" s="1">
        <f>'1- Export'!AB83</f>
        <v>5995770</v>
      </c>
      <c r="G175" s="1">
        <f>'1- Export'!AC83</f>
        <v>7181696.9679999994</v>
      </c>
      <c r="H175" s="1">
        <f>'1- Export'!AD83</f>
        <v>6734023.6859999988</v>
      </c>
      <c r="I175" s="1">
        <f>'1- Export'!AE83</f>
        <v>4101315.09705</v>
      </c>
      <c r="J175" s="1">
        <f>'1- Export'!AF83</f>
        <v>4349243</v>
      </c>
      <c r="K175" s="1">
        <f>'1- Export'!AG83</f>
        <v>4261062.9081325</v>
      </c>
      <c r="M175">
        <f>'2- Prijzen'!S83</f>
        <v>0.3238276427371532</v>
      </c>
      <c r="N175">
        <f>'2- Prijzen'!T83</f>
        <v>0.4</v>
      </c>
      <c r="O175">
        <f>'2- Prijzen'!U83</f>
        <v>0.36191382136857664</v>
      </c>
      <c r="P175">
        <f>'2- Prijzen'!V83</f>
        <v>0.34212912627254155</v>
      </c>
      <c r="Q175">
        <f>'2- Prijzen'!X83</f>
        <v>0.78</v>
      </c>
      <c r="R175">
        <f>'2- Prijzen'!Y83</f>
        <v>0.93100447286931542</v>
      </c>
      <c r="S175">
        <f>'2- Prijzen'!Z83</f>
        <v>0.85550223643465773</v>
      </c>
      <c r="T175">
        <f>'2- Prijzen'!AA83</f>
        <v>0.89293284624258751</v>
      </c>
      <c r="W175" s="1">
        <f t="shared" si="9"/>
        <v>1941596.0654941411</v>
      </c>
      <c r="X175" s="1">
        <f t="shared" si="10"/>
        <v>2872678.7872000001</v>
      </c>
      <c r="Y175" s="1">
        <f t="shared" si="11"/>
        <v>2437136.2453867677</v>
      </c>
      <c r="Z175" s="1">
        <f t="shared" si="12"/>
        <v>3199025.7756989999</v>
      </c>
      <c r="AA175" s="1">
        <f t="shared" si="13"/>
        <v>4049164.6865955601</v>
      </c>
      <c r="AB175" s="1">
        <f t="shared" si="14"/>
        <v>3645348.8474961203</v>
      </c>
    </row>
    <row r="176" spans="1:28" x14ac:dyDescent="0.25">
      <c r="A176" s="4">
        <v>1758</v>
      </c>
      <c r="F176" s="1">
        <f>'1- Export'!AB84</f>
        <v>4949340</v>
      </c>
      <c r="G176" s="1">
        <f>'1- Export'!AC84</f>
        <v>5928289.4559999993</v>
      </c>
      <c r="H176" s="1">
        <f>'1- Export'!AD84</f>
        <v>5611019.6799999997</v>
      </c>
      <c r="I176" s="1">
        <f>'1- Export'!AE84</f>
        <v>3354518.3197399997</v>
      </c>
      <c r="J176" s="1">
        <f>'1- Export'!AF84</f>
        <v>3715413.5138999997</v>
      </c>
      <c r="K176" s="1">
        <f>'1- Export'!AG84</f>
        <v>3454773.2883449998</v>
      </c>
      <c r="M176">
        <f>'2- Prijzen'!S84</f>
        <v>0.3238276427371532</v>
      </c>
      <c r="N176">
        <f>'2- Prijzen'!T84</f>
        <v>0.46</v>
      </c>
      <c r="O176">
        <f>'2- Prijzen'!U84</f>
        <v>0.39191382136857661</v>
      </c>
      <c r="P176">
        <f>'2- Prijzen'!V84</f>
        <v>0.35214108765609514</v>
      </c>
      <c r="Q176">
        <f>'2- Prijzen'!X84</f>
        <v>0.82</v>
      </c>
      <c r="R176">
        <f>'2- Prijzen'!Y84</f>
        <v>0.93100447286931542</v>
      </c>
      <c r="S176">
        <f>'2- Prijzen'!Z84</f>
        <v>0.87550223643465763</v>
      </c>
      <c r="T176">
        <f>'2- Prijzen'!AA84</f>
        <v>0.87687303932481941</v>
      </c>
      <c r="W176" s="1">
        <f t="shared" si="9"/>
        <v>1602733.1053047017</v>
      </c>
      <c r="X176" s="1">
        <f t="shared" si="10"/>
        <v>2727013.1497599999</v>
      </c>
      <c r="Y176" s="1">
        <f t="shared" si="11"/>
        <v>2199036.1645630877</v>
      </c>
      <c r="Z176" s="1">
        <f t="shared" si="12"/>
        <v>2750705.0221867994</v>
      </c>
      <c r="AA176" s="1">
        <f t="shared" si="13"/>
        <v>3459066.6</v>
      </c>
      <c r="AB176" s="1">
        <f t="shared" si="14"/>
        <v>3024661.7403207636</v>
      </c>
    </row>
    <row r="177" spans="1:28" x14ac:dyDescent="0.25">
      <c r="A177" s="4">
        <v>1759</v>
      </c>
      <c r="F177" s="1">
        <f>'1- Export'!AB85</f>
        <v>6183210</v>
      </c>
      <c r="G177" s="1">
        <f>'1- Export'!AC85</f>
        <v>7406310.2819999997</v>
      </c>
      <c r="H177" s="1">
        <f>'1- Export'!AD85</f>
        <v>6902849.8024999993</v>
      </c>
      <c r="I177" s="1">
        <f>'1- Export'!AE85</f>
        <v>5362845.4486499997</v>
      </c>
      <c r="J177" s="1">
        <f>'1- Export'!AF85</f>
        <v>5772353.1697299993</v>
      </c>
      <c r="K177" s="1">
        <f>'1- Export'!AG85</f>
        <v>5482583.3946374999</v>
      </c>
      <c r="M177">
        <f>'2- Prijzen'!S85</f>
        <v>0.3238276427371532</v>
      </c>
      <c r="N177">
        <f>'2- Prijzen'!T85</f>
        <v>0.3238276427371532</v>
      </c>
      <c r="O177">
        <f>'2- Prijzen'!U85</f>
        <v>0.3238276427371532</v>
      </c>
      <c r="P177">
        <f>'2- Prijzen'!V85</f>
        <v>0.35815304903964867</v>
      </c>
      <c r="Q177">
        <f>'2- Prijzen'!X85</f>
        <v>0.93100447286931542</v>
      </c>
      <c r="R177">
        <f>'2- Prijzen'!Y85</f>
        <v>0.93100447286931542</v>
      </c>
      <c r="S177">
        <f>'2- Prijzen'!Z85</f>
        <v>0.93100447286931542</v>
      </c>
      <c r="T177">
        <f>'2- Prijzen'!AA85</f>
        <v>0.86281323240705132</v>
      </c>
      <c r="W177" s="1">
        <f t="shared" si="9"/>
        <v>2002294.3188487929</v>
      </c>
      <c r="X177" s="1">
        <f t="shared" si="10"/>
        <v>2398368.0000000005</v>
      </c>
      <c r="Y177" s="1">
        <f t="shared" si="11"/>
        <v>2235333.5797121981</v>
      </c>
      <c r="Z177" s="1">
        <f t="shared" si="12"/>
        <v>4992833.1000000006</v>
      </c>
      <c r="AA177" s="1">
        <f t="shared" si="13"/>
        <v>5374086.6200000001</v>
      </c>
      <c r="AB177" s="1">
        <f t="shared" si="14"/>
        <v>5104309.6632865472</v>
      </c>
    </row>
    <row r="178" spans="1:28" x14ac:dyDescent="0.25">
      <c r="A178" s="4">
        <v>1760</v>
      </c>
      <c r="F178" s="1">
        <f>'1- Export'!AB86</f>
        <v>6934620</v>
      </c>
      <c r="G178" s="1">
        <f>'1- Export'!AC86</f>
        <v>8721558.0983999986</v>
      </c>
      <c r="H178" s="1">
        <f>'1- Export'!AD86</f>
        <v>8002678.8017999995</v>
      </c>
      <c r="I178" s="1">
        <f>'1- Export'!AE86</f>
        <v>4934874.5724499999</v>
      </c>
      <c r="J178" s="1">
        <f>'1- Export'!AF86</f>
        <v>5103244</v>
      </c>
      <c r="K178" s="1">
        <f>'1- Export'!AG86</f>
        <v>5030671.3007525001</v>
      </c>
      <c r="M178">
        <f>'2- Prijzen'!S86</f>
        <v>0.34406687040822526</v>
      </c>
      <c r="N178">
        <f>'2- Prijzen'!T86</f>
        <v>0.36</v>
      </c>
      <c r="O178">
        <f>'2- Prijzen'!U86</f>
        <v>0.35203343520411262</v>
      </c>
      <c r="P178">
        <f>'2- Prijzen'!V86</f>
        <v>0.36016501042320226</v>
      </c>
      <c r="Q178">
        <f>'2- Prijzen'!X86</f>
        <v>0.72</v>
      </c>
      <c r="R178">
        <f>'2- Prijzen'!Y86</f>
        <v>0.82980833451395497</v>
      </c>
      <c r="S178">
        <f>'2- Prijzen'!Z86</f>
        <v>0.77490416725697742</v>
      </c>
      <c r="T178">
        <f>'2- Prijzen'!AA86</f>
        <v>0.85275342548928312</v>
      </c>
      <c r="W178" s="1">
        <f t="shared" si="9"/>
        <v>2385973.000870287</v>
      </c>
      <c r="X178" s="1">
        <f t="shared" si="10"/>
        <v>3139760.9154239995</v>
      </c>
      <c r="Y178" s="1">
        <f t="shared" si="11"/>
        <v>2817210.5094327857</v>
      </c>
      <c r="Z178" s="1">
        <f t="shared" si="12"/>
        <v>3553109.6921639997</v>
      </c>
      <c r="AA178" s="1">
        <f t="shared" si="13"/>
        <v>4234714.4042583341</v>
      </c>
      <c r="AB178" s="1">
        <f t="shared" si="14"/>
        <v>3898288.1550531914</v>
      </c>
    </row>
    <row r="179" spans="1:28" x14ac:dyDescent="0.25">
      <c r="A179" s="4">
        <v>1761</v>
      </c>
      <c r="F179" s="1">
        <f>'1- Export'!AB87</f>
        <v>7317420</v>
      </c>
      <c r="G179" s="1">
        <f>'1- Export'!AC87</f>
        <v>9202791.8765999991</v>
      </c>
      <c r="H179" s="1">
        <f>'1- Export'!AD87</f>
        <v>8469956.7158499993</v>
      </c>
      <c r="I179" s="1">
        <f>'1- Export'!AE87</f>
        <v>5259947.7475199997</v>
      </c>
      <c r="J179" s="1">
        <f>'1- Export'!AF87</f>
        <v>5449875</v>
      </c>
      <c r="K179" s="1">
        <f>'1- Export'!AG87</f>
        <v>5369926.0165600004</v>
      </c>
      <c r="M179">
        <f>'2- Prijzen'!S87</f>
        <v>0.34406687040822526</v>
      </c>
      <c r="N179">
        <f>'2- Prijzen'!T87</f>
        <v>0.4</v>
      </c>
      <c r="O179">
        <f>'2- Prijzen'!U87</f>
        <v>0.37203343520411264</v>
      </c>
      <c r="P179">
        <f>'2- Prijzen'!V87</f>
        <v>0.35517697180675584</v>
      </c>
      <c r="Q179">
        <f>'2- Prijzen'!X87</f>
        <v>0.7</v>
      </c>
      <c r="R179">
        <f>'2- Prijzen'!Y87</f>
        <v>0.82980833451395497</v>
      </c>
      <c r="S179">
        <f>'2- Prijzen'!Z87</f>
        <v>0.76490416725697741</v>
      </c>
      <c r="T179">
        <f>'2- Prijzen'!AA87</f>
        <v>0.83469361857151525</v>
      </c>
      <c r="W179" s="1">
        <f t="shared" si="9"/>
        <v>2517681.7988625555</v>
      </c>
      <c r="X179" s="1">
        <f t="shared" si="10"/>
        <v>3681116.7506399998</v>
      </c>
      <c r="Y179" s="1">
        <f t="shared" si="11"/>
        <v>3151107.0930278194</v>
      </c>
      <c r="Z179" s="1">
        <f t="shared" si="12"/>
        <v>3681963.4232639996</v>
      </c>
      <c r="AA179" s="1">
        <f t="shared" si="13"/>
        <v>4522351.6970592402</v>
      </c>
      <c r="AB179" s="1">
        <f t="shared" si="14"/>
        <v>4107478.7879284048</v>
      </c>
    </row>
    <row r="180" spans="1:28" x14ac:dyDescent="0.25">
      <c r="A180" s="4">
        <v>1762</v>
      </c>
      <c r="F180" s="1">
        <f>'1- Export'!AB88</f>
        <v>7247130</v>
      </c>
      <c r="G180" s="1">
        <f>'1- Export'!AC88</f>
        <v>9114596.8115999997</v>
      </c>
      <c r="H180" s="1">
        <f>'1- Export'!AD88</f>
        <v>8391618.5571999997</v>
      </c>
      <c r="I180" s="1">
        <f>'1- Export'!AE88</f>
        <v>6045615.0792199997</v>
      </c>
      <c r="J180" s="1">
        <f>'1- Export'!AF88</f>
        <v>6170087.7142899996</v>
      </c>
      <c r="K180" s="1">
        <f>'1- Export'!AG88</f>
        <v>6095667.9494000003</v>
      </c>
      <c r="M180">
        <f>'2- Prijzen'!S88</f>
        <v>0.34406687040822526</v>
      </c>
      <c r="N180">
        <f>'2- Prijzen'!T88</f>
        <v>0.42</v>
      </c>
      <c r="O180">
        <f>'2- Prijzen'!U88</f>
        <v>0.38203343520411259</v>
      </c>
      <c r="P180">
        <f>'2- Prijzen'!V88</f>
        <v>0.34818893319030941</v>
      </c>
      <c r="Q180">
        <f>'2- Prijzen'!X88</f>
        <v>0.74</v>
      </c>
      <c r="R180">
        <f>'2- Prijzen'!Y88</f>
        <v>0.82980833451395497</v>
      </c>
      <c r="S180">
        <f>'2- Prijzen'!Z88</f>
        <v>0.78490416725697743</v>
      </c>
      <c r="T180">
        <f>'2- Prijzen'!AA88</f>
        <v>0.81763381165374727</v>
      </c>
      <c r="W180" s="1">
        <f t="shared" si="9"/>
        <v>2493497.3385415613</v>
      </c>
      <c r="X180" s="1">
        <f t="shared" si="10"/>
        <v>3828130.6608719998</v>
      </c>
      <c r="Y180" s="1">
        <f t="shared" si="11"/>
        <v>3205878.8643296948</v>
      </c>
      <c r="Z180" s="1">
        <f t="shared" si="12"/>
        <v>4473755.1586227994</v>
      </c>
      <c r="AA180" s="1">
        <f t="shared" si="13"/>
        <v>5119990.21</v>
      </c>
      <c r="AB180" s="1">
        <f t="shared" si="14"/>
        <v>4784515.175698854</v>
      </c>
    </row>
    <row r="181" spans="1:28" x14ac:dyDescent="0.25">
      <c r="A181" s="4">
        <v>1763</v>
      </c>
      <c r="F181" s="1">
        <f>'1- Export'!AB89</f>
        <v>7217100</v>
      </c>
      <c r="G181" s="1">
        <f>'1- Export'!AC89</f>
        <v>9076621.0541999992</v>
      </c>
      <c r="H181" s="1">
        <f>'1- Export'!AD89</f>
        <v>8306788.4426499996</v>
      </c>
      <c r="I181" s="1">
        <f>'1- Export'!AE89</f>
        <v>6654110.6305399993</v>
      </c>
      <c r="J181" s="1">
        <f>'1- Export'!AF89</f>
        <v>6856141</v>
      </c>
      <c r="K181" s="1">
        <f>'1- Export'!AG89</f>
        <v>6764443.2577174995</v>
      </c>
      <c r="M181">
        <f>'2- Prijzen'!S89</f>
        <v>0.34406687040822526</v>
      </c>
      <c r="N181">
        <f>'2- Prijzen'!T89</f>
        <v>0.36</v>
      </c>
      <c r="O181">
        <f>'2- Prijzen'!U89</f>
        <v>0.35203343520411262</v>
      </c>
      <c r="P181">
        <f>'2- Prijzen'!V89</f>
        <v>0.34420089457386305</v>
      </c>
      <c r="Q181">
        <f>'2- Prijzen'!X89</f>
        <v>0.76</v>
      </c>
      <c r="R181">
        <f>'2- Prijzen'!Y89</f>
        <v>0.82980833451395497</v>
      </c>
      <c r="S181">
        <f>'2- Prijzen'!Z89</f>
        <v>0.79490416725697743</v>
      </c>
      <c r="T181">
        <f>'2- Prijzen'!AA89</f>
        <v>0.8205740047359793</v>
      </c>
      <c r="W181" s="1">
        <f t="shared" si="9"/>
        <v>2483165.0104232025</v>
      </c>
      <c r="X181" s="1">
        <f t="shared" si="10"/>
        <v>3267583.5795119996</v>
      </c>
      <c r="Y181" s="1">
        <f t="shared" si="11"/>
        <v>2924267.2709799004</v>
      </c>
      <c r="Z181" s="1">
        <f t="shared" si="12"/>
        <v>5057124.0792103997</v>
      </c>
      <c r="AA181" s="1">
        <f t="shared" si="13"/>
        <v>5689282.9444028419</v>
      </c>
      <c r="AB181" s="1">
        <f t="shared" si="14"/>
        <v>5377084.1347330045</v>
      </c>
    </row>
    <row r="182" spans="1:28" x14ac:dyDescent="0.25">
      <c r="A182" s="4">
        <v>1764</v>
      </c>
      <c r="F182" s="1">
        <f>'1- Export'!AB90</f>
        <v>6807900</v>
      </c>
      <c r="G182" s="1">
        <f>'1- Export'!AC90</f>
        <v>9795255.1955999993</v>
      </c>
      <c r="H182" s="1">
        <f>'1- Export'!AD90</f>
        <v>8561283.1838999987</v>
      </c>
      <c r="I182" s="1">
        <f>'1- Export'!AE90</f>
        <v>4671319.5550999995</v>
      </c>
      <c r="J182" s="1">
        <f>'1- Export'!AF90</f>
        <v>5339337.6346299993</v>
      </c>
      <c r="K182" s="1">
        <f>'1- Export'!AG90</f>
        <v>5019236.6830199994</v>
      </c>
      <c r="M182">
        <f>'2- Prijzen'!S90</f>
        <v>0.3</v>
      </c>
      <c r="N182">
        <f>'2- Prijzen'!T90</f>
        <v>0.34406687040822526</v>
      </c>
      <c r="O182">
        <f>'2- Prijzen'!U90</f>
        <v>0.32203343520411265</v>
      </c>
      <c r="P182">
        <f>'2- Prijzen'!V90</f>
        <v>0.33821285595741674</v>
      </c>
      <c r="Q182">
        <f>'2- Prijzen'!X90</f>
        <v>0.74</v>
      </c>
      <c r="R182">
        <f>'2- Prijzen'!Y90</f>
        <v>0.82980833451395497</v>
      </c>
      <c r="S182">
        <f>'2- Prijzen'!Z90</f>
        <v>0.78490416725697743</v>
      </c>
      <c r="T182">
        <f>'2- Prijzen'!AA90</f>
        <v>0.82751419781821123</v>
      </c>
      <c r="W182" s="1">
        <f t="shared" si="9"/>
        <v>2042370</v>
      </c>
      <c r="X182" s="1">
        <f t="shared" si="10"/>
        <v>3370222.8000000003</v>
      </c>
      <c r="Y182" s="1">
        <f t="shared" si="11"/>
        <v>2757019.4334665197</v>
      </c>
      <c r="Z182" s="1">
        <f t="shared" si="12"/>
        <v>3456776.4707739996</v>
      </c>
      <c r="AA182" s="1">
        <f t="shared" si="13"/>
        <v>4430626.8699999992</v>
      </c>
      <c r="AB182" s="1">
        <f t="shared" si="14"/>
        <v>3939619.7889514863</v>
      </c>
    </row>
    <row r="183" spans="1:28" x14ac:dyDescent="0.25">
      <c r="A183" s="4">
        <v>1765</v>
      </c>
      <c r="F183" s="1">
        <f>'1- Export'!AB91</f>
        <v>6639930</v>
      </c>
      <c r="G183" s="1">
        <f>'1- Export'!AC91</f>
        <v>8735254.2731999997</v>
      </c>
      <c r="H183" s="1">
        <f>'1- Export'!AD91</f>
        <v>8011351.3411999997</v>
      </c>
      <c r="I183" s="1">
        <f>'1- Export'!AE91</f>
        <v>6613408.4845199995</v>
      </c>
      <c r="J183" s="1">
        <f>'1- Export'!AF91</f>
        <v>6904500</v>
      </c>
      <c r="K183" s="1">
        <f>'1- Export'!AG91</f>
        <v>6757885.0629375</v>
      </c>
      <c r="M183">
        <f>'2- Prijzen'!S91</f>
        <v>0.3</v>
      </c>
      <c r="N183">
        <f>'2- Prijzen'!T91</f>
        <v>0.34406687040822526</v>
      </c>
      <c r="O183">
        <f>'2- Prijzen'!U91</f>
        <v>0.32203343520411265</v>
      </c>
      <c r="P183">
        <f>'2- Prijzen'!V91</f>
        <v>0.33803343520411266</v>
      </c>
      <c r="Q183">
        <f>'2- Prijzen'!X91</f>
        <v>0.78</v>
      </c>
      <c r="R183">
        <f>'2- Prijzen'!Y91</f>
        <v>0.82980833451395497</v>
      </c>
      <c r="S183">
        <f>'2- Prijzen'!Z91</f>
        <v>0.80490416725697744</v>
      </c>
      <c r="T183">
        <f>'2- Prijzen'!AA91</f>
        <v>0.82790416725697757</v>
      </c>
      <c r="W183" s="1">
        <f t="shared" si="9"/>
        <v>1991979</v>
      </c>
      <c r="X183" s="1">
        <f t="shared" si="10"/>
        <v>3005511.6</v>
      </c>
      <c r="Y183" s="1">
        <f t="shared" si="11"/>
        <v>2579922.9930337109</v>
      </c>
      <c r="Z183" s="1">
        <f t="shared" si="12"/>
        <v>5158458.6179256001</v>
      </c>
      <c r="AA183" s="1">
        <f t="shared" si="13"/>
        <v>5729411.6456516022</v>
      </c>
      <c r="AB183" s="1">
        <f t="shared" si="14"/>
        <v>5439449.8490020754</v>
      </c>
    </row>
    <row r="184" spans="1:28" x14ac:dyDescent="0.25">
      <c r="A184" s="4">
        <v>1766</v>
      </c>
      <c r="F184" s="1">
        <f>'1- Export'!AB92</f>
        <v>7141860</v>
      </c>
      <c r="G184" s="1">
        <f>'1- Export'!AC92</f>
        <v>8733179.0952000003</v>
      </c>
      <c r="H184" s="1">
        <f>'1- Export'!AD92</f>
        <v>8024843.401800001</v>
      </c>
      <c r="I184" s="1">
        <f>'1- Export'!AE92</f>
        <v>5782341.6931699999</v>
      </c>
      <c r="J184" s="1">
        <f>'1- Export'!AF92</f>
        <v>7016176.818</v>
      </c>
      <c r="K184" s="1">
        <f>'1- Export'!AG92</f>
        <v>6278425.1462249998</v>
      </c>
      <c r="M184">
        <f>'2- Prijzen'!S92</f>
        <v>0.26</v>
      </c>
      <c r="N184">
        <f>'2- Prijzen'!T92</f>
        <v>0.34406687040822526</v>
      </c>
      <c r="O184">
        <f>'2- Prijzen'!U92</f>
        <v>0.30203343520411263</v>
      </c>
      <c r="P184">
        <f>'2- Prijzen'!V92</f>
        <v>0.33704539658766625</v>
      </c>
      <c r="Q184">
        <f>'2- Prijzen'!X92</f>
        <v>0.78</v>
      </c>
      <c r="R184">
        <f>'2- Prijzen'!Y92</f>
        <v>0.82980833451395497</v>
      </c>
      <c r="S184">
        <f>'2- Prijzen'!Z92</f>
        <v>0.80490416725697744</v>
      </c>
      <c r="T184">
        <f>'2- Prijzen'!AA92</f>
        <v>0.84688024448987009</v>
      </c>
      <c r="W184" s="1">
        <f t="shared" si="9"/>
        <v>1856883.6</v>
      </c>
      <c r="X184" s="1">
        <f t="shared" si="10"/>
        <v>3004797.6000000006</v>
      </c>
      <c r="Y184" s="1">
        <f t="shared" si="11"/>
        <v>2423771.0196207114</v>
      </c>
      <c r="Z184" s="1">
        <f t="shared" si="12"/>
        <v>4510226.5206725998</v>
      </c>
      <c r="AA184" s="1">
        <f t="shared" si="13"/>
        <v>5822082</v>
      </c>
      <c r="AB184" s="1">
        <f t="shared" si="14"/>
        <v>5053530.5640075002</v>
      </c>
    </row>
    <row r="185" spans="1:28" x14ac:dyDescent="0.25">
      <c r="A185" s="4">
        <v>1767</v>
      </c>
      <c r="F185" s="1">
        <f>'1- Export'!AB93</f>
        <v>7006230</v>
      </c>
      <c r="G185" s="1">
        <f>'1- Export'!AC93</f>
        <v>8811620.8235999998</v>
      </c>
      <c r="H185" s="1">
        <f>'1- Export'!AD93</f>
        <v>8260452.1150000002</v>
      </c>
      <c r="I185" s="1">
        <f>'1- Export'!AE93</f>
        <v>6751542.7080899999</v>
      </c>
      <c r="J185" s="1">
        <f>'1- Export'!AF93</f>
        <v>7016256.3664899999</v>
      </c>
      <c r="K185" s="1">
        <f>'1- Export'!AG93</f>
        <v>6852214.4776449995</v>
      </c>
      <c r="M185">
        <f>'2- Prijzen'!S93</f>
        <v>0.3</v>
      </c>
      <c r="N185">
        <f>'2- Prijzen'!T93</f>
        <v>0.34406687040822526</v>
      </c>
      <c r="O185">
        <f>'2- Prijzen'!U93</f>
        <v>0.32203343520411265</v>
      </c>
      <c r="P185">
        <f>'2- Prijzen'!V93</f>
        <v>0.33505735797121983</v>
      </c>
      <c r="Q185">
        <f>'2- Prijzen'!X93</f>
        <v>0.82980833451395497</v>
      </c>
      <c r="R185">
        <f>'2- Prijzen'!Y93</f>
        <v>0.94</v>
      </c>
      <c r="S185">
        <f>'2- Prijzen'!Z93</f>
        <v>0.88490416725697751</v>
      </c>
      <c r="T185">
        <f>'2- Prijzen'!AA93</f>
        <v>0.86485632172276294</v>
      </c>
      <c r="W185" s="1">
        <f t="shared" si="9"/>
        <v>2101869</v>
      </c>
      <c r="X185" s="1">
        <f t="shared" si="10"/>
        <v>3031786.8000000003</v>
      </c>
      <c r="Y185" s="1">
        <f t="shared" si="11"/>
        <v>2660141.7709325277</v>
      </c>
      <c r="Z185" s="1">
        <f t="shared" si="12"/>
        <v>5602486.4100000001</v>
      </c>
      <c r="AA185" s="1">
        <f t="shared" si="13"/>
        <v>6595280.9845005991</v>
      </c>
      <c r="AB185" s="1">
        <f t="shared" si="14"/>
        <v>6063553.1462066537</v>
      </c>
    </row>
    <row r="186" spans="1:28" x14ac:dyDescent="0.25">
      <c r="A186" s="4">
        <v>1768</v>
      </c>
      <c r="F186" s="1">
        <f>'1- Export'!AB94</f>
        <v>7185420</v>
      </c>
      <c r="G186" s="1">
        <f>'1- Export'!AC94</f>
        <v>9036985.1544000003</v>
      </c>
      <c r="H186" s="1">
        <f>'1- Export'!AD94</f>
        <v>8465369.3612999991</v>
      </c>
      <c r="I186" s="1">
        <f>'1- Export'!AE94</f>
        <v>5388545.54</v>
      </c>
      <c r="J186" s="1">
        <f>'1- Export'!AF94</f>
        <v>6174590</v>
      </c>
      <c r="K186" s="1">
        <f>'1- Export'!AG94</f>
        <v>5883412.9014999997</v>
      </c>
      <c r="M186">
        <f>'2- Prijzen'!S94</f>
        <v>0.32</v>
      </c>
      <c r="N186">
        <f>'2- Prijzen'!T94</f>
        <v>0.34406687040822526</v>
      </c>
      <c r="O186">
        <f>'2- Prijzen'!U94</f>
        <v>0.33203343520411266</v>
      </c>
      <c r="P186">
        <f>'2- Prijzen'!V94</f>
        <v>0.33006931935477346</v>
      </c>
      <c r="Q186">
        <f>'2- Prijzen'!X94</f>
        <v>0.82980833451395497</v>
      </c>
      <c r="R186">
        <f>'2- Prijzen'!Y94</f>
        <v>1.06</v>
      </c>
      <c r="S186">
        <f>'2- Prijzen'!Z94</f>
        <v>0.94490416725697757</v>
      </c>
      <c r="T186">
        <f>'2- Prijzen'!AA94</f>
        <v>0.8718323989556559</v>
      </c>
      <c r="W186" s="1">
        <f t="shared" si="9"/>
        <v>2299334.4</v>
      </c>
      <c r="X186" s="1">
        <f t="shared" si="10"/>
        <v>3109327.2000000007</v>
      </c>
      <c r="Y186" s="1">
        <f t="shared" si="11"/>
        <v>2810785.669304084</v>
      </c>
      <c r="Z186" s="1">
        <f t="shared" si="12"/>
        <v>4471460</v>
      </c>
      <c r="AA186" s="1">
        <f t="shared" si="13"/>
        <v>6545065.4000000004</v>
      </c>
      <c r="AB186" s="1">
        <f t="shared" si="14"/>
        <v>5559261.3683208153</v>
      </c>
    </row>
    <row r="187" spans="1:28" x14ac:dyDescent="0.25">
      <c r="A187" s="4">
        <v>1769</v>
      </c>
      <c r="F187" s="1">
        <f>'1- Export'!AB95</f>
        <v>7395630</v>
      </c>
      <c r="G187" s="1">
        <f>'1- Export'!AC95</f>
        <v>9301362.8315999992</v>
      </c>
      <c r="H187" s="1">
        <f>'1- Export'!AD95</f>
        <v>8594747.9153999984</v>
      </c>
      <c r="I187" s="1">
        <f>'1- Export'!AE95</f>
        <v>6920754.69857</v>
      </c>
      <c r="J187" s="1">
        <f>'1- Export'!AF95</f>
        <v>7305636.9740499994</v>
      </c>
      <c r="K187" s="1">
        <f>'1- Export'!AG95</f>
        <v>7082660.7018374996</v>
      </c>
      <c r="M187">
        <f>'2- Prijzen'!S95</f>
        <v>0.3</v>
      </c>
      <c r="N187">
        <f>'2- Prijzen'!T95</f>
        <v>0.34406687040822526</v>
      </c>
      <c r="O187">
        <f>'2- Prijzen'!U95</f>
        <v>0.32203343520411265</v>
      </c>
      <c r="P187">
        <f>'2- Prijzen'!V95</f>
        <v>0.32808128073832704</v>
      </c>
      <c r="Q187">
        <f>'2- Prijzen'!X95</f>
        <v>0.82980833451395497</v>
      </c>
      <c r="R187">
        <f>'2- Prijzen'!Y95</f>
        <v>1.04</v>
      </c>
      <c r="S187">
        <f>'2- Prijzen'!Z95</f>
        <v>0.93490416725697756</v>
      </c>
      <c r="T187">
        <f>'2- Prijzen'!AA95</f>
        <v>0.86980847618854873</v>
      </c>
      <c r="W187" s="1">
        <f t="shared" si="9"/>
        <v>2218689</v>
      </c>
      <c r="X187" s="1">
        <f t="shared" si="10"/>
        <v>3200290.8000000003</v>
      </c>
      <c r="Y187" s="1">
        <f t="shared" si="11"/>
        <v>2767796.1959096477</v>
      </c>
      <c r="Z187" s="1">
        <f t="shared" si="12"/>
        <v>5742899.9299999997</v>
      </c>
      <c r="AA187" s="1">
        <f t="shared" si="13"/>
        <v>7597862.4530119998</v>
      </c>
      <c r="AB187" s="1">
        <f t="shared" si="14"/>
        <v>6621609.0054151081</v>
      </c>
    </row>
    <row r="188" spans="1:28" x14ac:dyDescent="0.25">
      <c r="A188" s="4">
        <v>1770</v>
      </c>
      <c r="F188" s="1">
        <f>'1- Export'!AB96</f>
        <v>6171480</v>
      </c>
      <c r="G188" s="1">
        <f>'1- Export'!AC96</f>
        <v>7453762.6855999995</v>
      </c>
      <c r="H188" s="1">
        <f>'1- Export'!AD96</f>
        <v>6853959.0270600002</v>
      </c>
      <c r="I188" s="1">
        <f>'1- Export'!AE96</f>
        <v>3443016.2619099999</v>
      </c>
      <c r="J188" s="1">
        <f>'1- Export'!AF96</f>
        <v>4872097.9674999993</v>
      </c>
      <c r="K188" s="1">
        <f>'1- Export'!AG96</f>
        <v>3810601.5217724997</v>
      </c>
      <c r="M188">
        <f>'2- Prijzen'!S96</f>
        <v>0.32</v>
      </c>
      <c r="N188">
        <f>'2- Prijzen'!T96</f>
        <v>0.36430609807929731</v>
      </c>
      <c r="O188">
        <f>'2- Prijzen'!U96</f>
        <v>0.34215304903964866</v>
      </c>
      <c r="P188">
        <f>'2- Prijzen'!V96</f>
        <v>0.33009324212188063</v>
      </c>
      <c r="Q188">
        <f>'2- Prijzen'!X96</f>
        <v>0.78932987917181086</v>
      </c>
      <c r="R188">
        <f>'2- Prijzen'!Y96</f>
        <v>1.1399999999999999</v>
      </c>
      <c r="S188">
        <f>'2- Prijzen'!Z96</f>
        <v>0.96466493958590538</v>
      </c>
      <c r="T188">
        <f>'2- Prijzen'!AA96</f>
        <v>0.86378455342144156</v>
      </c>
      <c r="W188" s="1">
        <f t="shared" si="9"/>
        <v>1974873.6</v>
      </c>
      <c r="X188" s="1">
        <f t="shared" si="10"/>
        <v>2715451.2</v>
      </c>
      <c r="Y188" s="1">
        <f t="shared" si="11"/>
        <v>2345102.9791014027</v>
      </c>
      <c r="Z188" s="1">
        <f t="shared" si="12"/>
        <v>2717675.61</v>
      </c>
      <c r="AA188" s="1">
        <f t="shared" si="13"/>
        <v>5554191.6829499984</v>
      </c>
      <c r="AB188" s="1">
        <f t="shared" si="14"/>
        <v>3675953.6867866274</v>
      </c>
    </row>
    <row r="189" spans="1:28" x14ac:dyDescent="0.25">
      <c r="A189" s="4">
        <v>1771</v>
      </c>
      <c r="F189" s="1">
        <f>'1- Export'!AB97</f>
        <v>8017560</v>
      </c>
      <c r="G189" s="1">
        <f>'1- Export'!AC97</f>
        <v>9683412.9831999987</v>
      </c>
      <c r="H189" s="1">
        <f>'1- Export'!AD97</f>
        <v>9032216.4720199984</v>
      </c>
      <c r="I189" s="1">
        <f>'1- Export'!AE97</f>
        <v>5914751.3899999997</v>
      </c>
      <c r="J189" s="1">
        <f>'1- Export'!AF97</f>
        <v>7160287</v>
      </c>
      <c r="K189" s="1">
        <f>'1- Export'!AG97</f>
        <v>6806717.5998374997</v>
      </c>
      <c r="M189">
        <f>'2- Prijzen'!S97</f>
        <v>0.34</v>
      </c>
      <c r="N189">
        <f>'2- Prijzen'!T97</f>
        <v>0.36430609807929731</v>
      </c>
      <c r="O189">
        <f>'2- Prijzen'!U97</f>
        <v>0.35215304903964867</v>
      </c>
      <c r="P189">
        <f>'2- Prijzen'!V97</f>
        <v>0.33210520350543421</v>
      </c>
      <c r="Q189">
        <f>'2- Prijzen'!X97</f>
        <v>0.78932987917181086</v>
      </c>
      <c r="R189">
        <f>'2- Prijzen'!Y97</f>
        <v>1.1000000000000001</v>
      </c>
      <c r="S189">
        <f>'2- Prijzen'!Z97</f>
        <v>0.94466493958590547</v>
      </c>
      <c r="T189">
        <f>'2- Prijzen'!AA97</f>
        <v>0.85076063065433427</v>
      </c>
      <c r="W189" s="1">
        <f t="shared" si="9"/>
        <v>2725970.4000000004</v>
      </c>
      <c r="X189" s="1">
        <f t="shared" si="10"/>
        <v>3527726.4</v>
      </c>
      <c r="Y189" s="1">
        <f t="shared" si="11"/>
        <v>3180722.5702079809</v>
      </c>
      <c r="Z189" s="1">
        <f t="shared" si="12"/>
        <v>4668690</v>
      </c>
      <c r="AA189" s="1">
        <f t="shared" si="13"/>
        <v>7876315.7000000002</v>
      </c>
      <c r="AB189" s="1">
        <f t="shared" si="14"/>
        <v>6430067.4702288108</v>
      </c>
    </row>
    <row r="190" spans="1:28" x14ac:dyDescent="0.25">
      <c r="A190" s="4">
        <v>1772</v>
      </c>
      <c r="F190" s="1">
        <f>'1- Export'!AB98</f>
        <v>7477200</v>
      </c>
      <c r="G190" s="1">
        <f>'1- Export'!AC98</f>
        <v>9030779.3839999996</v>
      </c>
      <c r="H190" s="1">
        <f>'1- Export'!AD98</f>
        <v>8514247.2373999991</v>
      </c>
      <c r="I190" s="1">
        <f>'1- Export'!AE98</f>
        <v>6265122.9612499997</v>
      </c>
      <c r="J190" s="1">
        <f>'1- Export'!AF98</f>
        <v>6945599</v>
      </c>
      <c r="K190" s="1">
        <f>'1- Export'!AG98</f>
        <v>6734542.1763824997</v>
      </c>
      <c r="M190">
        <f>'2- Prijzen'!S98</f>
        <v>0.3</v>
      </c>
      <c r="N190">
        <f>'2- Prijzen'!T98</f>
        <v>0.36430609807929731</v>
      </c>
      <c r="O190">
        <f>'2- Prijzen'!U98</f>
        <v>0.33215304903964865</v>
      </c>
      <c r="P190">
        <f>'2- Prijzen'!V98</f>
        <v>0.3361171648889878</v>
      </c>
      <c r="Q190">
        <f>'2- Prijzen'!X98</f>
        <v>0.78932987917181086</v>
      </c>
      <c r="R190">
        <f>'2- Prijzen'!Y98</f>
        <v>0.92</v>
      </c>
      <c r="S190">
        <f>'2- Prijzen'!Z98</f>
        <v>0.85466493958590539</v>
      </c>
      <c r="T190">
        <f>'2- Prijzen'!AA98</f>
        <v>0.83973670788722699</v>
      </c>
      <c r="W190" s="1">
        <f t="shared" si="9"/>
        <v>2243160</v>
      </c>
      <c r="X190" s="1">
        <f t="shared" si="10"/>
        <v>3289968</v>
      </c>
      <c r="Y190" s="1">
        <f t="shared" si="11"/>
        <v>2828033.1801798148</v>
      </c>
      <c r="Z190" s="1">
        <f t="shared" si="12"/>
        <v>4945248.75</v>
      </c>
      <c r="AA190" s="1">
        <f t="shared" si="13"/>
        <v>6389951.0800000001</v>
      </c>
      <c r="AB190" s="1">
        <f t="shared" si="14"/>
        <v>5755777.0823166808</v>
      </c>
    </row>
    <row r="191" spans="1:28" x14ac:dyDescent="0.25">
      <c r="A191" s="4">
        <v>1773</v>
      </c>
      <c r="F191" s="1">
        <f>'1- Export'!AB99</f>
        <v>6633360</v>
      </c>
      <c r="G191" s="1">
        <f>'1- Export'!AC99</f>
        <v>8011610.0592</v>
      </c>
      <c r="H191" s="1">
        <f>'1- Export'!AD99</f>
        <v>7426387.1753799999</v>
      </c>
      <c r="I191" s="1">
        <f>'1- Export'!AE99</f>
        <v>7146546.9113099994</v>
      </c>
      <c r="J191" s="1">
        <f>'1- Export'!AF99</f>
        <v>8061146.5344199995</v>
      </c>
      <c r="K191" s="1">
        <f>'1- Export'!AG99</f>
        <v>7455140.3661499992</v>
      </c>
      <c r="M191">
        <f>'2- Prijzen'!S99</f>
        <v>0.3</v>
      </c>
      <c r="N191">
        <f>'2- Prijzen'!T99</f>
        <v>0.36430609807929731</v>
      </c>
      <c r="O191">
        <f>'2- Prijzen'!U99</f>
        <v>0.33215304903964865</v>
      </c>
      <c r="P191">
        <f>'2- Prijzen'!V99</f>
        <v>0.34212912627254144</v>
      </c>
      <c r="Q191">
        <f>'2- Prijzen'!X99</f>
        <v>0.76</v>
      </c>
      <c r="R191">
        <f>'2- Prijzen'!Y99</f>
        <v>0.78932987917181086</v>
      </c>
      <c r="S191">
        <f>'2- Prijzen'!Z99</f>
        <v>0.77466493958590543</v>
      </c>
      <c r="T191">
        <f>'2- Prijzen'!AA99</f>
        <v>0.8197127851201198</v>
      </c>
      <c r="W191" s="1">
        <f t="shared" si="9"/>
        <v>1990008</v>
      </c>
      <c r="X191" s="1">
        <f t="shared" si="10"/>
        <v>2918678.4000000004</v>
      </c>
      <c r="Y191" s="1">
        <f t="shared" si="11"/>
        <v>2466697.1436514109</v>
      </c>
      <c r="Z191" s="1">
        <f t="shared" si="12"/>
        <v>5431375.6525955992</v>
      </c>
      <c r="AA191" s="1">
        <f t="shared" si="13"/>
        <v>6362903.8200000003</v>
      </c>
      <c r="AB191" s="1">
        <f t="shared" si="14"/>
        <v>5775235.8613480339</v>
      </c>
    </row>
    <row r="192" spans="1:28" x14ac:dyDescent="0.25">
      <c r="A192" s="4">
        <v>1774</v>
      </c>
      <c r="F192" s="1">
        <f>'1- Export'!AB100</f>
        <v>5788481.7495999997</v>
      </c>
      <c r="G192" s="1">
        <f>'1- Export'!AC100</f>
        <v>7008093.5055999998</v>
      </c>
      <c r="H192" s="1">
        <f>'1- Export'!AD100</f>
        <v>6385859.7049599998</v>
      </c>
      <c r="I192" s="1">
        <f>'1- Export'!AE100</f>
        <v>5937043.2485299995</v>
      </c>
      <c r="J192" s="1">
        <f>'1- Export'!AF100</f>
        <v>6715893</v>
      </c>
      <c r="K192" s="1">
        <f>'1- Export'!AG100</f>
        <v>6488840.8290449996</v>
      </c>
      <c r="M192">
        <f>'2- Prijzen'!S100</f>
        <v>0.32</v>
      </c>
      <c r="N192">
        <f>'2- Prijzen'!T100</f>
        <v>0.36430609807929731</v>
      </c>
      <c r="O192">
        <f>'2- Prijzen'!U100</f>
        <v>0.34215304903964866</v>
      </c>
      <c r="P192">
        <f>'2- Prijzen'!V100</f>
        <v>0.35314108765609503</v>
      </c>
      <c r="Q192">
        <f>'2- Prijzen'!X100</f>
        <v>0.66</v>
      </c>
      <c r="R192">
        <f>'2- Prijzen'!Y100</f>
        <v>0.78932987917181086</v>
      </c>
      <c r="S192">
        <f>'2- Prijzen'!Z100</f>
        <v>0.7246649395859055</v>
      </c>
      <c r="T192">
        <f>'2- Prijzen'!AA100</f>
        <v>0.79768886235301273</v>
      </c>
      <c r="W192" s="1">
        <f t="shared" si="9"/>
        <v>1852314.1598719999</v>
      </c>
      <c r="X192" s="1">
        <f t="shared" si="10"/>
        <v>2553091.2000000002</v>
      </c>
      <c r="Y192" s="1">
        <f t="shared" si="11"/>
        <v>2184941.368791495</v>
      </c>
      <c r="Z192" s="1">
        <f t="shared" si="12"/>
        <v>3918448.5440297998</v>
      </c>
      <c r="AA192" s="1">
        <f t="shared" si="13"/>
        <v>5301055.0102208108</v>
      </c>
      <c r="AB192" s="1">
        <f t="shared" si="14"/>
        <v>4702235.4473624518</v>
      </c>
    </row>
    <row r="193" spans="1:28" x14ac:dyDescent="0.25">
      <c r="A193" s="4">
        <v>1775</v>
      </c>
      <c r="F193" s="1">
        <f>'1- Export'!AB101</f>
        <v>7708320</v>
      </c>
      <c r="G193" s="1">
        <f>'1- Export'!AC101</f>
        <v>9309920.4704</v>
      </c>
      <c r="H193" s="1">
        <f>'1- Export'!AD101</f>
        <v>8757748.7511400003</v>
      </c>
      <c r="I193" s="1">
        <f>'1- Export'!AE101</f>
        <v>6571397</v>
      </c>
      <c r="J193" s="1">
        <f>'1- Export'!AF101</f>
        <v>10115970</v>
      </c>
      <c r="K193" s="1">
        <f>'1- Export'!AG101</f>
        <v>9182392.9996875003</v>
      </c>
      <c r="M193">
        <f>'2- Prijzen'!S101</f>
        <v>0.32</v>
      </c>
      <c r="N193">
        <f>'2- Prijzen'!T101</f>
        <v>0.36430609807929731</v>
      </c>
      <c r="O193">
        <f>'2- Prijzen'!U101</f>
        <v>0.34215304903964866</v>
      </c>
      <c r="P193">
        <f>'2- Prijzen'!V101</f>
        <v>0.36615304903964863</v>
      </c>
      <c r="Q193">
        <f>'2- Prijzen'!X101</f>
        <v>0.56000000000000005</v>
      </c>
      <c r="R193">
        <f>'2- Prijzen'!Y101</f>
        <v>0.78932987917181086</v>
      </c>
      <c r="S193">
        <f>'2- Prijzen'!Z101</f>
        <v>0.67466493958590545</v>
      </c>
      <c r="T193">
        <f>'2- Prijzen'!AA101</f>
        <v>0.77966493958590544</v>
      </c>
      <c r="W193" s="1">
        <f t="shared" si="9"/>
        <v>2466662.3999999999</v>
      </c>
      <c r="X193" s="1">
        <f t="shared" si="10"/>
        <v>3391660.8000000003</v>
      </c>
      <c r="Y193" s="1">
        <f t="shared" si="11"/>
        <v>2996490.4379257262</v>
      </c>
      <c r="Z193" s="1">
        <f t="shared" si="12"/>
        <v>3679982.3200000003</v>
      </c>
      <c r="AA193" s="1">
        <f t="shared" si="13"/>
        <v>7984837.3778056633</v>
      </c>
      <c r="AB193" s="1">
        <f t="shared" si="14"/>
        <v>6195038.6183882086</v>
      </c>
    </row>
    <row r="194" spans="1:28" x14ac:dyDescent="0.25">
      <c r="A194" s="4">
        <v>1776</v>
      </c>
      <c r="F194" s="1">
        <f>'1- Export'!AB102</f>
        <v>6318720</v>
      </c>
      <c r="G194" s="1">
        <f>'1- Export'!AC102</f>
        <v>7631595.5583999995</v>
      </c>
      <c r="H194" s="1">
        <f>'1- Export'!AD102</f>
        <v>7261058.8484799992</v>
      </c>
      <c r="I194" s="1">
        <f>'1- Export'!AE102</f>
        <v>5805557.5</v>
      </c>
      <c r="J194" s="1">
        <f>'1- Export'!AF102</f>
        <v>6954573.6767999995</v>
      </c>
      <c r="K194" s="1">
        <f>'1- Export'!AG102</f>
        <v>6644500.5146500003</v>
      </c>
      <c r="M194">
        <f>'2- Prijzen'!S102</f>
        <v>0.32</v>
      </c>
      <c r="N194">
        <f>'2- Prijzen'!T102</f>
        <v>0.36430609807929731</v>
      </c>
      <c r="O194">
        <f>'2- Prijzen'!U102</f>
        <v>0.34215304903964866</v>
      </c>
      <c r="P194">
        <f>'2- Prijzen'!V102</f>
        <v>0.37917697180675586</v>
      </c>
      <c r="Q194">
        <f>'2- Prijzen'!X102</f>
        <v>0.6</v>
      </c>
      <c r="R194">
        <f>'2- Prijzen'!Y102</f>
        <v>0.78932987917181086</v>
      </c>
      <c r="S194">
        <f>'2- Prijzen'!Z102</f>
        <v>0.69466493958590547</v>
      </c>
      <c r="T194">
        <f>'2- Prijzen'!AA102</f>
        <v>0.7778563217227632</v>
      </c>
      <c r="W194" s="1">
        <f t="shared" si="9"/>
        <v>2021990.4000000001</v>
      </c>
      <c r="X194" s="1">
        <f t="shared" si="10"/>
        <v>2780236.8</v>
      </c>
      <c r="Y194" s="1">
        <f t="shared" si="11"/>
        <v>2484393.4242637521</v>
      </c>
      <c r="Z194" s="1">
        <f t="shared" si="12"/>
        <v>3483334.5</v>
      </c>
      <c r="AA194" s="1">
        <f t="shared" si="13"/>
        <v>5489452.7999999998</v>
      </c>
      <c r="AB194" s="1">
        <f t="shared" si="14"/>
        <v>4615701.5485878605</v>
      </c>
    </row>
    <row r="195" spans="1:28" x14ac:dyDescent="0.25">
      <c r="A195" s="4">
        <v>1777</v>
      </c>
      <c r="F195" s="1">
        <f>'1- Export'!AB103</f>
        <v>6367320</v>
      </c>
      <c r="G195" s="1">
        <f>'1- Export'!AC103</f>
        <v>7690293.4503999995</v>
      </c>
      <c r="H195" s="1">
        <f>'1- Export'!AD103</f>
        <v>7171702.0106999995</v>
      </c>
      <c r="I195" s="1">
        <f>'1- Export'!AE103</f>
        <v>6398712.5449999999</v>
      </c>
      <c r="J195" s="1">
        <f>'1- Export'!AF103</f>
        <v>10107281</v>
      </c>
      <c r="K195" s="1">
        <f>'1- Export'!AG103</f>
        <v>9130726.3956400007</v>
      </c>
      <c r="M195">
        <f>'2- Prijzen'!S103</f>
        <v>0.36430609807929731</v>
      </c>
      <c r="N195">
        <f>'2- Prijzen'!T103</f>
        <v>0.4</v>
      </c>
      <c r="O195">
        <f>'2- Prijzen'!U103</f>
        <v>0.38215304903964864</v>
      </c>
      <c r="P195">
        <f>'2- Prijzen'!V103</f>
        <v>0.39320089457386309</v>
      </c>
      <c r="Q195">
        <f>'2- Prijzen'!X103</f>
        <v>0.57999999999999996</v>
      </c>
      <c r="R195">
        <f>'2- Prijzen'!Y103</f>
        <v>0.78932987917181086</v>
      </c>
      <c r="S195">
        <f>'2- Prijzen'!Z103</f>
        <v>0.68466493958590546</v>
      </c>
      <c r="T195">
        <f>'2- Prijzen'!AA103</f>
        <v>0.80604770385962077</v>
      </c>
      <c r="W195" s="1">
        <f t="shared" si="9"/>
        <v>2319653.5044222712</v>
      </c>
      <c r="X195" s="1">
        <f t="shared" si="10"/>
        <v>3076117.3801600002</v>
      </c>
      <c r="Y195" s="1">
        <f t="shared" si="11"/>
        <v>2740687.7901927838</v>
      </c>
      <c r="Z195" s="1">
        <f t="shared" si="12"/>
        <v>3711253.2760999999</v>
      </c>
      <c r="AA195" s="1">
        <f t="shared" si="13"/>
        <v>7977978.89048554</v>
      </c>
      <c r="AB195" s="1">
        <f t="shared" si="14"/>
        <v>6251488.2360462938</v>
      </c>
    </row>
    <row r="196" spans="1:28" x14ac:dyDescent="0.25">
      <c r="A196" s="4">
        <v>1778</v>
      </c>
      <c r="F196" s="1">
        <f>'1- Export'!AB104</f>
        <v>6945917.2199999997</v>
      </c>
      <c r="G196" s="1">
        <f>'1- Export'!AC104</f>
        <v>9212960.2488000002</v>
      </c>
      <c r="H196" s="1">
        <f>'1- Export'!AD104</f>
        <v>8229030.8833799995</v>
      </c>
      <c r="I196" s="1">
        <f>'1- Export'!AE104</f>
        <v>5509251.727</v>
      </c>
      <c r="J196" s="1">
        <f>'1- Export'!AF104</f>
        <v>8236881</v>
      </c>
      <c r="K196" s="1">
        <f>'1- Export'!AG104</f>
        <v>7506293.4679949991</v>
      </c>
      <c r="M196">
        <f>'2- Prijzen'!S104</f>
        <v>0.36430609807929731</v>
      </c>
      <c r="N196">
        <f>'2- Prijzen'!T104</f>
        <v>0.52</v>
      </c>
      <c r="O196">
        <f>'2- Prijzen'!U104</f>
        <v>0.44215304903964869</v>
      </c>
      <c r="P196">
        <f>'2- Prijzen'!V104</f>
        <v>0.4004640450120423</v>
      </c>
      <c r="Q196">
        <f>'2- Prijzen'!X104</f>
        <v>0.66</v>
      </c>
      <c r="R196">
        <f>'2- Prijzen'!Y104</f>
        <v>0.78932987917181086</v>
      </c>
      <c r="S196">
        <f>'2- Prijzen'!Z104</f>
        <v>0.7246649395859055</v>
      </c>
      <c r="T196">
        <f>'2- Prijzen'!AA104</f>
        <v>0.85423908599647846</v>
      </c>
      <c r="W196" s="1">
        <f t="shared" si="9"/>
        <v>2530440</v>
      </c>
      <c r="X196" s="1">
        <f t="shared" si="10"/>
        <v>4790739.329376</v>
      </c>
      <c r="Y196" s="1">
        <f t="shared" si="11"/>
        <v>3638491.0957279005</v>
      </c>
      <c r="Z196" s="1">
        <f t="shared" si="12"/>
        <v>3636106.1398200002</v>
      </c>
      <c r="AA196" s="1">
        <f t="shared" si="13"/>
        <v>6501616.2844825843</v>
      </c>
      <c r="AB196" s="1">
        <f t="shared" si="14"/>
        <v>5439547.7024986735</v>
      </c>
    </row>
    <row r="197" spans="1:28" x14ac:dyDescent="0.25">
      <c r="A197" s="4">
        <v>1779</v>
      </c>
      <c r="F197" s="1">
        <f>'1- Export'!AB105</f>
        <v>6432854.1639999999</v>
      </c>
      <c r="G197" s="1">
        <f>'1- Export'!AC105</f>
        <v>8088134.7183999997</v>
      </c>
      <c r="H197" s="1">
        <f>'1- Export'!AD105</f>
        <v>7323589.2491199998</v>
      </c>
      <c r="I197" s="1">
        <f>'1- Export'!AE105</f>
        <v>5665145.5215299996</v>
      </c>
      <c r="J197" s="1">
        <f>'1- Export'!AF105</f>
        <v>6472974.2719999999</v>
      </c>
      <c r="K197" s="1">
        <f>'1- Export'!AG105</f>
        <v>5896395.8287649993</v>
      </c>
      <c r="M197">
        <f>'2- Prijzen'!S105</f>
        <v>0.36430609807929731</v>
      </c>
      <c r="N197">
        <f>'2- Prijzen'!T105</f>
        <v>0.54</v>
      </c>
      <c r="O197">
        <f>'2- Prijzen'!U105</f>
        <v>0.4521530490396487</v>
      </c>
      <c r="P197">
        <f>'2- Prijzen'!V105</f>
        <v>0.40248796777914952</v>
      </c>
      <c r="Q197">
        <f>'2- Prijzen'!X105</f>
        <v>0.72</v>
      </c>
      <c r="R197">
        <f>'2- Prijzen'!Y105</f>
        <v>0.78932987917181086</v>
      </c>
      <c r="S197">
        <f>'2- Prijzen'!Z105</f>
        <v>0.75466493958590541</v>
      </c>
      <c r="T197">
        <f>'2- Prijzen'!AA105</f>
        <v>0.86543046813333591</v>
      </c>
      <c r="W197" s="1">
        <f t="shared" si="9"/>
        <v>2343528</v>
      </c>
      <c r="X197" s="1">
        <f t="shared" si="10"/>
        <v>4367592.7479360001</v>
      </c>
      <c r="Y197" s="1">
        <f t="shared" si="11"/>
        <v>3311383.2089035991</v>
      </c>
      <c r="Z197" s="1">
        <f t="shared" si="12"/>
        <v>4078904.7755015995</v>
      </c>
      <c r="AA197" s="1">
        <f t="shared" si="13"/>
        <v>5109312</v>
      </c>
      <c r="AB197" s="1">
        <f t="shared" si="14"/>
        <v>4449803.2018895233</v>
      </c>
    </row>
    <row r="198" spans="1:28" x14ac:dyDescent="0.25">
      <c r="A198" s="4">
        <v>1780</v>
      </c>
      <c r="F198" s="1">
        <f>'1- Export'!AB106</f>
        <v>6161220</v>
      </c>
      <c r="G198" s="1">
        <f>'1- Export'!AC106</f>
        <v>7493408.4671999998</v>
      </c>
      <c r="H198" s="1">
        <f>'1- Export'!AD106</f>
        <v>7027615.1782799996</v>
      </c>
      <c r="I198" s="1">
        <f>'1- Export'!AE106</f>
        <v>5614382.7149299998</v>
      </c>
      <c r="J198" s="1">
        <f>'1- Export'!AF106</f>
        <v>5805557.5</v>
      </c>
      <c r="K198" s="1">
        <f>'1- Export'!AG106</f>
        <v>5678965.4824649999</v>
      </c>
      <c r="M198">
        <f>'2- Prijzen'!S106</f>
        <v>0.40478455342144148</v>
      </c>
      <c r="N198">
        <f>'2- Prijzen'!T106</f>
        <v>0.54</v>
      </c>
      <c r="O198">
        <f>'2- Prijzen'!U106</f>
        <v>0.47239227671072076</v>
      </c>
      <c r="P198">
        <f>'2- Prijzen'!V106</f>
        <v>0.40451189054625675</v>
      </c>
      <c r="Q198">
        <f>'2- Prijzen'!X106</f>
        <v>0.78</v>
      </c>
      <c r="R198">
        <f>'2- Prijzen'!Y106</f>
        <v>1.113157521908964</v>
      </c>
      <c r="S198">
        <f>'2- Prijzen'!Z106</f>
        <v>0.94657876095448201</v>
      </c>
      <c r="T198">
        <f>'2- Prijzen'!AA106</f>
        <v>0.8906218502701938</v>
      </c>
      <c r="W198" s="1">
        <f t="shared" si="9"/>
        <v>2493966.6862312537</v>
      </c>
      <c r="X198" s="1">
        <f t="shared" si="10"/>
        <v>4046440.572288</v>
      </c>
      <c r="Y198" s="1">
        <f t="shared" si="11"/>
        <v>3319791.133914507</v>
      </c>
      <c r="Z198" s="1">
        <f t="shared" si="12"/>
        <v>4379218.5176454</v>
      </c>
      <c r="AA198" s="1">
        <f t="shared" si="13"/>
        <v>6462500</v>
      </c>
      <c r="AB198" s="1">
        <f t="shared" si="14"/>
        <v>5375588.1098949919</v>
      </c>
    </row>
    <row r="199" spans="1:28" x14ac:dyDescent="0.25">
      <c r="A199" s="4">
        <v>1781</v>
      </c>
      <c r="F199" s="1">
        <f>'1- Export'!AB107</f>
        <v>1015864.8508799999</v>
      </c>
      <c r="G199" s="1">
        <f>'1- Export'!AC107</f>
        <v>8054062.2719999999</v>
      </c>
      <c r="H199" s="1">
        <f>'1- Export'!AD107</f>
        <v>2849389.5295200003</v>
      </c>
      <c r="I199" s="1">
        <f>'1- Export'!AE107</f>
        <v>1941811.7449299998</v>
      </c>
      <c r="J199" s="1">
        <f>'1- Export'!AF107</f>
        <v>5914808.7044399995</v>
      </c>
      <c r="K199" s="1">
        <f>'1- Export'!AG107</f>
        <v>2962777.6496524997</v>
      </c>
      <c r="M199">
        <f>'2- Prijzen'!S107</f>
        <v>0.40478455342144148</v>
      </c>
      <c r="N199">
        <f>'2- Prijzen'!T107</f>
        <v>0.57999999999999996</v>
      </c>
      <c r="O199">
        <f>'2- Prijzen'!U107</f>
        <v>0.49239227671072072</v>
      </c>
      <c r="P199">
        <f>'2- Prijzen'!V107</f>
        <v>0.40753581331336397</v>
      </c>
      <c r="Q199">
        <f>'2- Prijzen'!X107</f>
        <v>1.113157521908964</v>
      </c>
      <c r="R199">
        <f>'2- Prijzen'!Y107</f>
        <v>1.34</v>
      </c>
      <c r="S199">
        <f>'2- Prijzen'!Z107</f>
        <v>1.226578760954482</v>
      </c>
      <c r="T199">
        <f>'2- Prijzen'!AA107</f>
        <v>0.92681323240705138</v>
      </c>
      <c r="W199" s="1">
        <f t="shared" si="9"/>
        <v>411206.40000000002</v>
      </c>
      <c r="X199" s="1">
        <f t="shared" si="10"/>
        <v>4671356.1177599998</v>
      </c>
      <c r="Y199" s="1">
        <f t="shared" si="11"/>
        <v>1403017.3976760423</v>
      </c>
      <c r="Z199" s="1">
        <f t="shared" si="12"/>
        <v>2161542.35</v>
      </c>
      <c r="AA199" s="1">
        <f t="shared" si="13"/>
        <v>7925843.6639495995</v>
      </c>
      <c r="AB199" s="1">
        <f t="shared" si="14"/>
        <v>3634080.1384943957</v>
      </c>
    </row>
    <row r="200" spans="1:28" x14ac:dyDescent="0.25">
      <c r="A200" s="4">
        <v>1782</v>
      </c>
      <c r="F200" s="1">
        <f>'1- Export'!AB108</f>
        <v>4333604.0992000001</v>
      </c>
      <c r="G200" s="1">
        <f>'1- Export'!AC108</f>
        <v>8218653.5327999992</v>
      </c>
      <c r="H200" s="1">
        <f>'1- Export'!AD108</f>
        <v>5960804.0350399995</v>
      </c>
      <c r="I200" s="1">
        <f>'1- Export'!AE108</f>
        <v>3654675.5242899996</v>
      </c>
      <c r="J200" s="1">
        <f>'1- Export'!AF108</f>
        <v>5527174</v>
      </c>
      <c r="K200" s="1">
        <f>'1- Export'!AG108</f>
        <v>4849453.4888399998</v>
      </c>
      <c r="M200">
        <f>'2- Prijzen'!S108</f>
        <v>0.40478455342144148</v>
      </c>
      <c r="N200">
        <f>'2- Prijzen'!T108</f>
        <v>0.40478455342144148</v>
      </c>
      <c r="O200">
        <f>'2- Prijzen'!U108</f>
        <v>0.40478455342144148</v>
      </c>
      <c r="P200">
        <f>'2- Prijzen'!V108</f>
        <v>0.40955973608047119</v>
      </c>
      <c r="Q200">
        <f>'2- Prijzen'!X108</f>
        <v>1.113157521908964</v>
      </c>
      <c r="R200">
        <f>'2- Prijzen'!Y108</f>
        <v>1.56</v>
      </c>
      <c r="S200">
        <f>'2- Prijzen'!Z108</f>
        <v>1.3365787609544819</v>
      </c>
      <c r="T200">
        <f>'2- Prijzen'!AA108</f>
        <v>0.96200461454390884</v>
      </c>
      <c r="W200" s="1">
        <f t="shared" si="9"/>
        <v>1754176.0000000002</v>
      </c>
      <c r="X200" s="1">
        <f t="shared" si="10"/>
        <v>3326784</v>
      </c>
      <c r="Y200" s="1">
        <f t="shared" si="11"/>
        <v>2412841.3993563927</v>
      </c>
      <c r="Z200" s="1">
        <f t="shared" si="12"/>
        <v>4068229.55</v>
      </c>
      <c r="AA200" s="1">
        <f t="shared" si="13"/>
        <v>8622391.4399999995</v>
      </c>
      <c r="AB200" s="1">
        <f t="shared" si="14"/>
        <v>6481676.5354201561</v>
      </c>
    </row>
    <row r="201" spans="1:28" x14ac:dyDescent="0.25">
      <c r="A201" s="4">
        <v>1783</v>
      </c>
      <c r="F201" s="1">
        <f>'1- Export'!AB109</f>
        <v>7425600</v>
      </c>
      <c r="G201" s="1">
        <f>'1- Export'!AC109</f>
        <v>10428982.935039999</v>
      </c>
      <c r="H201" s="1">
        <f>'1- Export'!AD109</f>
        <v>8356916.824959999</v>
      </c>
      <c r="I201" s="1">
        <f>'1- Export'!AE109</f>
        <v>5541200.0804899996</v>
      </c>
      <c r="J201" s="1">
        <f>'1- Export'!AF109</f>
        <v>6434240.5805399995</v>
      </c>
      <c r="K201" s="1">
        <f>'1- Export'!AG109</f>
        <v>6018525.2072949996</v>
      </c>
      <c r="M201">
        <f>'2- Prijzen'!S109</f>
        <v>0.3</v>
      </c>
      <c r="N201">
        <f>'2- Prijzen'!T109</f>
        <v>0.40478455342144148</v>
      </c>
      <c r="O201">
        <f>'2- Prijzen'!U109</f>
        <v>0.35239227671072071</v>
      </c>
      <c r="P201">
        <f>'2- Prijzen'!V109</f>
        <v>0.41158365884757842</v>
      </c>
      <c r="Q201">
        <f>'2- Prijzen'!X109</f>
        <v>0.66</v>
      </c>
      <c r="R201">
        <f>'2- Prijzen'!Y109</f>
        <v>1.113157521908964</v>
      </c>
      <c r="S201">
        <f>'2- Prijzen'!Z109</f>
        <v>0.88657876095448196</v>
      </c>
      <c r="T201">
        <f>'2- Prijzen'!AA109</f>
        <v>1.0051959966807666</v>
      </c>
      <c r="W201" s="1">
        <f t="shared" si="9"/>
        <v>2227680</v>
      </c>
      <c r="X201" s="1">
        <f t="shared" si="10"/>
        <v>4221491.2000000002</v>
      </c>
      <c r="Y201" s="1">
        <f t="shared" si="11"/>
        <v>2944912.9462297815</v>
      </c>
      <c r="Z201" s="1">
        <f t="shared" si="12"/>
        <v>3657192.0531234001</v>
      </c>
      <c r="AA201" s="1">
        <f t="shared" si="13"/>
        <v>7162323.2999999998</v>
      </c>
      <c r="AB201" s="1">
        <f t="shared" si="14"/>
        <v>5335896.6210569171</v>
      </c>
    </row>
    <row r="202" spans="1:28" x14ac:dyDescent="0.25">
      <c r="A202" s="4">
        <v>1784</v>
      </c>
      <c r="F202" s="1">
        <f>'1- Export'!AB110</f>
        <v>6794251.3536</v>
      </c>
      <c r="G202" s="1">
        <f>'1- Export'!AC110</f>
        <v>9261222.959999999</v>
      </c>
      <c r="H202" s="1">
        <f>'1- Export'!AD110</f>
        <v>8191169.8061599992</v>
      </c>
      <c r="I202" s="1">
        <f>'1- Export'!AE110</f>
        <v>6380413.9218499996</v>
      </c>
      <c r="J202" s="1">
        <f>'1- Export'!AF110</f>
        <v>7800004</v>
      </c>
      <c r="K202" s="1">
        <f>'1- Export'!AG110</f>
        <v>7288130.7081025001</v>
      </c>
      <c r="M202">
        <f>'2- Prijzen'!S110</f>
        <v>0.32</v>
      </c>
      <c r="N202">
        <f>'2- Prijzen'!T110</f>
        <v>0.40478455342144148</v>
      </c>
      <c r="O202">
        <f>'2- Prijzen'!U110</f>
        <v>0.36239227671072072</v>
      </c>
      <c r="P202">
        <f>'2- Prijzen'!V110</f>
        <v>0.40860758161468558</v>
      </c>
      <c r="Q202">
        <f>'2- Prijzen'!X110</f>
        <v>0.84</v>
      </c>
      <c r="R202">
        <f>'2- Prijzen'!Y110</f>
        <v>1.113157521908964</v>
      </c>
      <c r="S202">
        <f>'2- Prijzen'!Z110</f>
        <v>0.97657876095448204</v>
      </c>
      <c r="T202">
        <f>'2- Prijzen'!AA110</f>
        <v>1.0513873788176245</v>
      </c>
      <c r="W202" s="1">
        <f t="shared" si="9"/>
        <v>2174160.433152</v>
      </c>
      <c r="X202" s="1">
        <f t="shared" si="10"/>
        <v>3748800</v>
      </c>
      <c r="Y202" s="1">
        <f t="shared" si="11"/>
        <v>2968416.674978435</v>
      </c>
      <c r="Z202" s="1">
        <f t="shared" si="12"/>
        <v>5359547.6943539996</v>
      </c>
      <c r="AA202" s="1">
        <f t="shared" si="13"/>
        <v>8682633.1235200074</v>
      </c>
      <c r="AB202" s="1">
        <f t="shared" si="14"/>
        <v>7117433.6565930517</v>
      </c>
    </row>
    <row r="203" spans="1:28" x14ac:dyDescent="0.25">
      <c r="A203" s="4">
        <v>1785</v>
      </c>
      <c r="F203" s="1">
        <f>'1- Export'!AB111</f>
        <v>7672703.8463999992</v>
      </c>
      <c r="G203" s="1">
        <f>'1- Export'!AC111</f>
        <v>8963345.9807999991</v>
      </c>
      <c r="H203" s="1">
        <f>'1- Export'!AD111</f>
        <v>8260400.9976399997</v>
      </c>
      <c r="I203" s="1">
        <f>'1- Export'!AE111</f>
        <v>2976877.4272999996</v>
      </c>
      <c r="J203" s="1">
        <f>'1- Export'!AF111</f>
        <v>4893650</v>
      </c>
      <c r="K203" s="1">
        <f>'1- Export'!AG111</f>
        <v>3921052.3698274996</v>
      </c>
      <c r="M203">
        <f>'2- Prijzen'!S111</f>
        <v>0.34</v>
      </c>
      <c r="N203">
        <f>'2- Prijzen'!T111</f>
        <v>0.40478455342144148</v>
      </c>
      <c r="O203">
        <f>'2- Prijzen'!U111</f>
        <v>0.37239227671072073</v>
      </c>
      <c r="P203">
        <f>'2- Prijzen'!V111</f>
        <v>0.40563150438179285</v>
      </c>
      <c r="Q203">
        <f>'2- Prijzen'!X111</f>
        <v>0.96</v>
      </c>
      <c r="R203">
        <f>'2- Prijzen'!Y111</f>
        <v>1.113157521908964</v>
      </c>
      <c r="S203">
        <f>'2- Prijzen'!Z111</f>
        <v>1.0365787609544821</v>
      </c>
      <c r="T203">
        <f>'2- Prijzen'!AA111</f>
        <v>1.093578760954482</v>
      </c>
      <c r="W203" s="1">
        <f t="shared" si="9"/>
        <v>2608719.3077759999</v>
      </c>
      <c r="X203" s="1">
        <f t="shared" si="10"/>
        <v>3628224</v>
      </c>
      <c r="Y203" s="1">
        <f t="shared" si="11"/>
        <v>3076109.5340546682</v>
      </c>
      <c r="Z203" s="1">
        <f t="shared" si="12"/>
        <v>2857802.3302079993</v>
      </c>
      <c r="AA203" s="1">
        <f t="shared" si="13"/>
        <v>5447403.3070898019</v>
      </c>
      <c r="AB203" s="1">
        <f t="shared" si="14"/>
        <v>4064479.6071534255</v>
      </c>
    </row>
    <row r="204" spans="1:28" x14ac:dyDescent="0.25">
      <c r="A204" s="4">
        <v>1786</v>
      </c>
      <c r="F204" s="1">
        <f>'1- Export'!AB112</f>
        <v>5516550</v>
      </c>
      <c r="G204" s="1">
        <f>'1- Export'!AC112</f>
        <v>7944967.1999999993</v>
      </c>
      <c r="H204" s="1">
        <f>'1- Export'!AD112</f>
        <v>6961093.5823199991</v>
      </c>
      <c r="I204" s="1">
        <f>'1- Export'!AE112</f>
        <v>6140370.6712400001</v>
      </c>
      <c r="J204" s="1">
        <f>'1- Export'!AF112</f>
        <v>6488085</v>
      </c>
      <c r="K204" s="1">
        <f>'1- Export'!AG112</f>
        <v>6307407.0533099994</v>
      </c>
      <c r="M204">
        <f>'2- Prijzen'!S112</f>
        <v>0.32</v>
      </c>
      <c r="N204">
        <f>'2- Prijzen'!T112</f>
        <v>0.40478455342144148</v>
      </c>
      <c r="O204">
        <f>'2- Prijzen'!U112</f>
        <v>0.36239227671072072</v>
      </c>
      <c r="P204">
        <f>'2- Prijzen'!V112</f>
        <v>0.41276307960088249</v>
      </c>
      <c r="Q204">
        <f>'2- Prijzen'!X112</f>
        <v>0.98</v>
      </c>
      <c r="R204">
        <f>'2- Prijzen'!Y112</f>
        <v>1.113157521908964</v>
      </c>
      <c r="S204">
        <f>'2- Prijzen'!Z112</f>
        <v>1.0465787609544819</v>
      </c>
      <c r="T204">
        <f>'2- Prijzen'!AA112</f>
        <v>1.1065907223380356</v>
      </c>
      <c r="W204" s="1">
        <f t="shared" si="9"/>
        <v>1765296</v>
      </c>
      <c r="X204" s="1">
        <f t="shared" si="10"/>
        <v>3216000</v>
      </c>
      <c r="Y204" s="1">
        <f t="shared" si="11"/>
        <v>2522646.5516933315</v>
      </c>
      <c r="Z204" s="1">
        <f t="shared" si="12"/>
        <v>6017563.2578151999</v>
      </c>
      <c r="AA204" s="1">
        <f t="shared" si="13"/>
        <v>7222260.6205347208</v>
      </c>
      <c r="AB204" s="1">
        <f t="shared" si="14"/>
        <v>6601198.2586887386</v>
      </c>
    </row>
    <row r="205" spans="1:28" x14ac:dyDescent="0.25">
      <c r="A205" s="4">
        <v>1787</v>
      </c>
      <c r="F205" s="1">
        <f>'1- Export'!AB113</f>
        <v>6140160</v>
      </c>
      <c r="G205" s="1">
        <f>'1- Export'!AC113</f>
        <v>7829231.5583999995</v>
      </c>
      <c r="H205" s="1">
        <f>'1- Export'!AD113</f>
        <v>7110357.4890799997</v>
      </c>
      <c r="I205" s="1">
        <f>'1- Export'!AE113</f>
        <v>4662560.8216699995</v>
      </c>
      <c r="J205" s="1">
        <f>'1- Export'!AF113</f>
        <v>6064878</v>
      </c>
      <c r="K205" s="1">
        <f>'1- Export'!AG113</f>
        <v>5404771.9081774997</v>
      </c>
      <c r="M205">
        <f>'2- Prijzen'!S113</f>
        <v>0.4</v>
      </c>
      <c r="N205">
        <f>'2- Prijzen'!T113</f>
        <v>0.40478455342144148</v>
      </c>
      <c r="O205">
        <f>'2- Prijzen'!U113</f>
        <v>0.40239227671072075</v>
      </c>
      <c r="P205">
        <f>'2- Prijzen'!V113</f>
        <v>0.42189465481997213</v>
      </c>
      <c r="Q205">
        <f>'2- Prijzen'!X113</f>
        <v>1.113157521908964</v>
      </c>
      <c r="R205">
        <f>'2- Prijzen'!Y113</f>
        <v>1.1200000000000001</v>
      </c>
      <c r="S205">
        <f>'2- Prijzen'!Z113</f>
        <v>1.1165787609544822</v>
      </c>
      <c r="T205">
        <f>'2- Prijzen'!AA113</f>
        <v>1.0906026837215894</v>
      </c>
      <c r="W205" s="1">
        <f t="shared" si="9"/>
        <v>2456064</v>
      </c>
      <c r="X205" s="1">
        <f t="shared" si="10"/>
        <v>3169152</v>
      </c>
      <c r="Y205" s="1">
        <f t="shared" si="11"/>
        <v>2861152.9382580249</v>
      </c>
      <c r="Z205" s="1">
        <f t="shared" si="12"/>
        <v>5190164.6499999994</v>
      </c>
      <c r="AA205" s="1">
        <f t="shared" si="13"/>
        <v>6792663.3600000003</v>
      </c>
      <c r="AB205" s="1">
        <f t="shared" si="14"/>
        <v>6034853.5204744246</v>
      </c>
    </row>
    <row r="206" spans="1:28" x14ac:dyDescent="0.25">
      <c r="A206" s="4">
        <v>1788</v>
      </c>
      <c r="F206" s="1">
        <f>'1- Export'!AB114</f>
        <v>6406758.3065599995</v>
      </c>
      <c r="G206" s="1">
        <f>'1- Export'!AC114</f>
        <v>6517244.7359999996</v>
      </c>
      <c r="H206" s="1">
        <f>'1- Export'!AD114</f>
        <v>6462001.52128</v>
      </c>
      <c r="I206" s="1">
        <f>'1- Export'!AE114</f>
        <v>3378474.2733899998</v>
      </c>
      <c r="J206" s="1">
        <f>'1- Export'!AF114</f>
        <v>3477344.6469299998</v>
      </c>
      <c r="K206" s="1">
        <f>'1- Export'!AG114</f>
        <v>3427909.4601599998</v>
      </c>
      <c r="M206">
        <f>'2- Prijzen'!S114</f>
        <v>0.40478455342144148</v>
      </c>
      <c r="N206">
        <f>'2- Prijzen'!T114</f>
        <v>0.42</v>
      </c>
      <c r="O206">
        <f>'2- Prijzen'!U114</f>
        <v>0.41239227671072076</v>
      </c>
      <c r="P206">
        <f>'2- Prijzen'!V114</f>
        <v>0.44878700236798974</v>
      </c>
      <c r="Q206">
        <f>'2- Prijzen'!X114</f>
        <v>1.113157521908964</v>
      </c>
      <c r="R206">
        <f>'2- Prijzen'!Y114</f>
        <v>1.26</v>
      </c>
      <c r="S206">
        <f>'2- Prijzen'!Z114</f>
        <v>1.186578760954482</v>
      </c>
      <c r="T206">
        <f>'2- Prijzen'!AA114</f>
        <v>1.0726146451051428</v>
      </c>
      <c r="W206" s="1">
        <f t="shared" si="9"/>
        <v>2593356.8000000003</v>
      </c>
      <c r="X206" s="1">
        <f t="shared" si="10"/>
        <v>2737242.7891199999</v>
      </c>
      <c r="Y206" s="1">
        <f t="shared" si="11"/>
        <v>2664879.5194688002</v>
      </c>
      <c r="Z206" s="1">
        <f t="shared" si="12"/>
        <v>3760774.05</v>
      </c>
      <c r="AA206" s="1">
        <f t="shared" si="13"/>
        <v>4381454.2551317997</v>
      </c>
      <c r="AB206" s="1">
        <f t="shared" si="14"/>
        <v>4067484.5599007998</v>
      </c>
    </row>
    <row r="207" spans="1:28" x14ac:dyDescent="0.25">
      <c r="A207" s="4">
        <v>1789</v>
      </c>
      <c r="F207" s="1">
        <f>'1- Export'!AB115</f>
        <v>6089070</v>
      </c>
      <c r="G207" s="1">
        <f>'1- Export'!AC115</f>
        <v>7405658.0831999993</v>
      </c>
      <c r="H207" s="1">
        <f>'1- Export'!AD115</f>
        <v>6931249.8954133326</v>
      </c>
      <c r="I207" s="1">
        <f>'1- Export'!AE115</f>
        <v>5508760.10745</v>
      </c>
      <c r="J207" s="1">
        <f>'1- Export'!AF115</f>
        <v>5574653</v>
      </c>
      <c r="K207" s="1">
        <f>'1- Export'!AG115</f>
        <v>5538944.4155999999</v>
      </c>
      <c r="M207">
        <f>'2- Prijzen'!S115</f>
        <v>0.40478455342144148</v>
      </c>
      <c r="N207">
        <f>'2- Prijzen'!T115</f>
        <v>0.44</v>
      </c>
      <c r="O207">
        <f>'2- Prijzen'!U115</f>
        <v>0.42239227671072077</v>
      </c>
      <c r="P207">
        <f>'2- Prijzen'!V115</f>
        <v>0.48091857758707934</v>
      </c>
      <c r="Q207">
        <f>'2- Prijzen'!X115</f>
        <v>1.113157521908964</v>
      </c>
      <c r="R207">
        <f>'2- Prijzen'!Y115</f>
        <v>1.24</v>
      </c>
      <c r="S207">
        <f>'2- Prijzen'!Z115</f>
        <v>1.176578760954482</v>
      </c>
      <c r="T207">
        <f>'2- Prijzen'!AA115</f>
        <v>1.0996266064886964</v>
      </c>
      <c r="W207" s="1">
        <f t="shared" si="9"/>
        <v>2464761.4807018968</v>
      </c>
      <c r="X207" s="1">
        <f t="shared" si="10"/>
        <v>3258489.5566079998</v>
      </c>
      <c r="Y207" s="1">
        <f t="shared" si="11"/>
        <v>2927706.4237745828</v>
      </c>
      <c r="Z207" s="1">
        <f t="shared" si="12"/>
        <v>6132117.75</v>
      </c>
      <c r="AA207" s="1">
        <f t="shared" si="13"/>
        <v>6912569.7199999997</v>
      </c>
      <c r="AB207" s="1">
        <f t="shared" si="14"/>
        <v>6517004.3575023953</v>
      </c>
    </row>
    <row r="208" spans="1:28" x14ac:dyDescent="0.25">
      <c r="A208" s="4">
        <v>1790</v>
      </c>
      <c r="F208" s="1">
        <f>'1- Export'!AB116</f>
        <v>8442000</v>
      </c>
      <c r="G208" s="1">
        <f>'1- Export'!AC116</f>
        <v>10094080.827599999</v>
      </c>
      <c r="H208" s="1">
        <f>'1- Export'!AD116</f>
        <v>9515579.8331999984</v>
      </c>
      <c r="I208" s="1">
        <f>'1- Export'!AE116</f>
        <v>7320079.2247500001</v>
      </c>
      <c r="J208" s="1">
        <f>'1- Export'!AF116</f>
        <v>7428138</v>
      </c>
      <c r="K208" s="1">
        <f>'1- Export'!AG116</f>
        <v>7362851.3798333332</v>
      </c>
      <c r="M208">
        <f>'2- Prijzen'!S116</f>
        <v>0.46</v>
      </c>
      <c r="N208">
        <f>'2- Prijzen'!T116</f>
        <v>0.62741605780323428</v>
      </c>
      <c r="O208">
        <f>'2- Prijzen'!U116</f>
        <v>0.54370802890161718</v>
      </c>
      <c r="P208">
        <f>'2- Prijzen'!V116</f>
        <v>0.51105015280616883</v>
      </c>
      <c r="Q208">
        <f>'2- Prijzen'!X116</f>
        <v>1.02</v>
      </c>
      <c r="R208">
        <f>'2- Prijzen'!Y116</f>
        <v>1.1333967495800361</v>
      </c>
      <c r="S208">
        <f>'2- Prijzen'!Z116</f>
        <v>1.0766983747900181</v>
      </c>
      <c r="T208">
        <f>'2- Prijzen'!AA116</f>
        <v>1.1191385678722501</v>
      </c>
      <c r="W208" s="1">
        <f t="shared" si="9"/>
        <v>3883320</v>
      </c>
      <c r="X208" s="1">
        <f t="shared" si="10"/>
        <v>6333188.3999999994</v>
      </c>
      <c r="Y208" s="1">
        <f t="shared" si="11"/>
        <v>5173697.1549651502</v>
      </c>
      <c r="Z208" s="1">
        <f t="shared" si="12"/>
        <v>7466480.8092450006</v>
      </c>
      <c r="AA208" s="1">
        <f t="shared" si="13"/>
        <v>8419027.4646319505</v>
      </c>
      <c r="AB208" s="1">
        <f t="shared" si="14"/>
        <v>7927570.1144869914</v>
      </c>
    </row>
    <row r="209" spans="1:28" x14ac:dyDescent="0.25">
      <c r="A209" s="4">
        <v>1791</v>
      </c>
      <c r="F209" s="1">
        <f>'1- Export'!AB117</f>
        <v>7669600</v>
      </c>
      <c r="G209" s="1">
        <f>'1- Export'!AC117</f>
        <v>9169089.0095199998</v>
      </c>
      <c r="H209" s="1">
        <f>'1- Export'!AD117</f>
        <v>8419344.5047600009</v>
      </c>
      <c r="I209" s="1">
        <f>'1- Export'!AE117</f>
        <v>6570656.3590899995</v>
      </c>
      <c r="J209" s="1">
        <f>'1- Export'!AF117</f>
        <v>6648310</v>
      </c>
      <c r="K209" s="1">
        <f>'1- Export'!AG117</f>
        <v>6609483.1795450002</v>
      </c>
      <c r="M209">
        <f>'2- Prijzen'!S117</f>
        <v>0.54</v>
      </c>
      <c r="N209">
        <f>'2- Prijzen'!T117</f>
        <v>0.62741605780323428</v>
      </c>
      <c r="O209">
        <f>'2- Prijzen'!U117</f>
        <v>0.58370802890161722</v>
      </c>
      <c r="P209">
        <f>'2- Prijzen'!V117</f>
        <v>0.52645658348344104</v>
      </c>
      <c r="Q209">
        <f>'2- Prijzen'!X117</f>
        <v>1</v>
      </c>
      <c r="R209">
        <f>'2- Prijzen'!Y117</f>
        <v>1.1333967495800361</v>
      </c>
      <c r="S209">
        <f>'2- Prijzen'!Z117</f>
        <v>1.0666983747900181</v>
      </c>
      <c r="T209">
        <f>'2- Prijzen'!AA117</f>
        <v>1.128311879752002</v>
      </c>
      <c r="W209" s="1">
        <f t="shared" si="9"/>
        <v>4141584.0000000005</v>
      </c>
      <c r="X209" s="1">
        <f t="shared" si="10"/>
        <v>5752833.6800000006</v>
      </c>
      <c r="Y209" s="1">
        <f t="shared" si="11"/>
        <v>4914438.9855171228</v>
      </c>
      <c r="Z209" s="1">
        <f t="shared" si="12"/>
        <v>6570656.3590899995</v>
      </c>
      <c r="AA209" s="1">
        <f t="shared" si="13"/>
        <v>7535172.9442004496</v>
      </c>
      <c r="AB209" s="1">
        <f t="shared" si="14"/>
        <v>7050324.9658226129</v>
      </c>
    </row>
    <row r="210" spans="1:28" x14ac:dyDescent="0.25">
      <c r="A210" s="4">
        <v>1792</v>
      </c>
      <c r="F210" s="1">
        <f>'1- Export'!AB118</f>
        <v>6820000</v>
      </c>
      <c r="G210" s="1">
        <f>'1- Export'!AC118</f>
        <v>8153702.4377599992</v>
      </c>
      <c r="H210" s="1">
        <f>'1- Export'!AD118</f>
        <v>7486851.2188799996</v>
      </c>
      <c r="I210" s="1">
        <f>'1- Export'!AE118</f>
        <v>3522321</v>
      </c>
      <c r="J210" s="1">
        <f>'1- Export'!AF118</f>
        <v>4172393.4021799997</v>
      </c>
      <c r="K210" s="1">
        <f>'1- Export'!AG118</f>
        <v>3847357.2010899996</v>
      </c>
      <c r="M210">
        <f>'2- Prijzen'!S118</f>
        <v>0.62741605780323428</v>
      </c>
      <c r="N210">
        <f>'2- Prijzen'!T118</f>
        <v>0.72</v>
      </c>
      <c r="O210">
        <f>'2- Prijzen'!U118</f>
        <v>0.67370802890161707</v>
      </c>
      <c r="P210">
        <f>'2- Prijzen'!V118</f>
        <v>0.54696462183003103</v>
      </c>
      <c r="Q210">
        <f>'2- Prijzen'!X118</f>
        <v>1.1333967495800361</v>
      </c>
      <c r="R210">
        <f>'2- Prijzen'!Y118</f>
        <v>1.18</v>
      </c>
      <c r="S210">
        <f>'2- Prijzen'!Z118</f>
        <v>1.1566983747900181</v>
      </c>
      <c r="T210">
        <f>'2- Prijzen'!AA118</f>
        <v>1.1385285196016921</v>
      </c>
      <c r="W210" s="1">
        <f t="shared" ref="W210:Y212" si="15">F210*M210</f>
        <v>4278977.5142180575</v>
      </c>
      <c r="X210" s="1">
        <f t="shared" si="15"/>
        <v>5870665.7551871995</v>
      </c>
      <c r="Y210" s="1">
        <f t="shared" si="15"/>
        <v>5043951.7773513142</v>
      </c>
      <c r="Z210" s="1">
        <f t="shared" ref="Z210:AB212" si="16">I210*Q210</f>
        <v>3992187.1723775025</v>
      </c>
      <c r="AA210" s="1">
        <f t="shared" si="16"/>
        <v>4923424.2145723999</v>
      </c>
      <c r="AB210" s="1">
        <f t="shared" si="16"/>
        <v>4450231.8217374757</v>
      </c>
    </row>
    <row r="211" spans="1:28" x14ac:dyDescent="0.25">
      <c r="A211" s="4">
        <v>1793</v>
      </c>
      <c r="F211" s="1">
        <f>'1- Export'!AB119</f>
        <v>2167600</v>
      </c>
      <c r="G211" s="1">
        <f>'1- Export'!AC119</f>
        <v>2516704.7294399999</v>
      </c>
      <c r="H211" s="1">
        <f>'1- Export'!AD119</f>
        <v>2342152.36472</v>
      </c>
      <c r="I211" s="1">
        <f>'1- Export'!AE119</f>
        <v>157754</v>
      </c>
      <c r="J211" s="1">
        <f>'1- Export'!AF119</f>
        <v>167322.09623</v>
      </c>
      <c r="K211" s="1">
        <f>'1- Export'!AG119</f>
        <v>162538.04811500001</v>
      </c>
      <c r="M211">
        <f>'2- Prijzen'!S119</f>
        <v>0.62741605780323428</v>
      </c>
      <c r="N211">
        <f>'2- Prijzen'!T119</f>
        <v>0.72</v>
      </c>
      <c r="O211">
        <f>'2- Prijzen'!U119</f>
        <v>0.67370802890161707</v>
      </c>
      <c r="P211">
        <f>'2- Prijzen'!V119</f>
        <v>0.56761781398993238</v>
      </c>
      <c r="Q211">
        <f>'2- Prijzen'!X119</f>
        <v>1.1333967495800361</v>
      </c>
      <c r="R211">
        <f>'2- Prijzen'!Y119</f>
        <v>1.18</v>
      </c>
      <c r="S211">
        <f>'2- Prijzen'!Z119</f>
        <v>1.1566983747900181</v>
      </c>
      <c r="T211">
        <f>'2- Prijzen'!AA119</f>
        <v>1.1416641994084364</v>
      </c>
      <c r="W211" s="1">
        <f t="shared" si="15"/>
        <v>1359987.0468942907</v>
      </c>
      <c r="X211" s="1">
        <f t="shared" si="15"/>
        <v>1812027.4051967999</v>
      </c>
      <c r="Y211" s="1">
        <f t="shared" si="15"/>
        <v>1577926.8530227726</v>
      </c>
      <c r="Z211" s="1">
        <f t="shared" si="16"/>
        <v>178797.87083324901</v>
      </c>
      <c r="AA211" s="1">
        <f t="shared" si="16"/>
        <v>197440.07355139998</v>
      </c>
      <c r="AB211" s="1">
        <f t="shared" si="16"/>
        <v>188007.49609616227</v>
      </c>
    </row>
    <row r="212" spans="1:28" x14ac:dyDescent="0.25">
      <c r="A212" s="4">
        <v>1794</v>
      </c>
      <c r="F212" s="1">
        <f>'1- Export'!AB120</f>
        <v>9713400</v>
      </c>
      <c r="G212" s="1">
        <f>'1- Export'!AC120</f>
        <v>11538244.630439999</v>
      </c>
      <c r="H212" s="1">
        <f>'1- Export'!AD120</f>
        <v>10625822.315219998</v>
      </c>
      <c r="I212" s="1">
        <f>'1- Export'!AE120</f>
        <v>5501971.8049399992</v>
      </c>
      <c r="J212" s="1">
        <f>'1- Export'!AF120</f>
        <v>5596845</v>
      </c>
      <c r="K212" s="1">
        <f>'1- Export'!AG120</f>
        <v>5549408.4024700001</v>
      </c>
      <c r="M212">
        <f>'2- Prijzen'!S120</f>
        <v>0.62741605780323428</v>
      </c>
      <c r="N212">
        <f>'2- Prijzen'!T120</f>
        <v>0.7</v>
      </c>
      <c r="O212">
        <f>'2- Prijzen'!U120</f>
        <v>0.66370802890161706</v>
      </c>
      <c r="P212">
        <f>'2- Prijzen'!V120</f>
        <v>0.59348873686980108</v>
      </c>
      <c r="Q212">
        <f>'2- Prijzen'!X120</f>
        <v>1.1333967495800361</v>
      </c>
      <c r="R212">
        <f>'2- Prijzen'!Y120</f>
        <v>1.21</v>
      </c>
      <c r="S212">
        <f>'2- Prijzen'!Z120</f>
        <v>1.171698374790018</v>
      </c>
      <c r="T212">
        <f>'2- Prijzen'!AA120</f>
        <v>1.1341784391507621</v>
      </c>
      <c r="W212" s="1">
        <f t="shared" si="15"/>
        <v>6094343.1358659361</v>
      </c>
      <c r="X212" s="1">
        <f t="shared" si="15"/>
        <v>8076771.2413079981</v>
      </c>
      <c r="Y212" s="1">
        <f t="shared" si="15"/>
        <v>7052443.5842934819</v>
      </c>
      <c r="Z212" s="1">
        <f t="shared" si="16"/>
        <v>6235916.96</v>
      </c>
      <c r="AA212" s="1">
        <f t="shared" si="16"/>
        <v>6772182.4500000002</v>
      </c>
      <c r="AB212" s="1">
        <f t="shared" si="16"/>
        <v>6502232.8062201692</v>
      </c>
    </row>
    <row r="213" spans="1:28" x14ac:dyDescent="0.25">
      <c r="A213" s="4">
        <v>1795</v>
      </c>
      <c r="F213" s="1"/>
      <c r="G213" s="1"/>
      <c r="H213" s="1"/>
      <c r="I213" s="1"/>
      <c r="J213" s="1"/>
      <c r="K213" s="1"/>
      <c r="P213">
        <f>'2- Prijzen'!V121</f>
        <v>0.62770802890161703</v>
      </c>
      <c r="T213">
        <f>'2- Prijzen'!AA121</f>
        <v>1.125698374790018</v>
      </c>
    </row>
    <row r="214" spans="1:28" x14ac:dyDescent="0.25">
      <c r="A214" s="4">
        <v>1796</v>
      </c>
      <c r="F214" s="1"/>
      <c r="G214" s="1"/>
      <c r="H214" s="1"/>
      <c r="I214" s="1"/>
      <c r="J214" s="1"/>
      <c r="K214" s="1"/>
      <c r="P214">
        <f>'2- Prijzen'!V122</f>
        <v>0.64870802890161705</v>
      </c>
      <c r="T214">
        <f>'2- Prijzen'!AA122</f>
        <v>1.1379483747900181</v>
      </c>
    </row>
    <row r="215" spans="1:28" x14ac:dyDescent="0.25">
      <c r="A215" s="4">
        <v>1797</v>
      </c>
      <c r="F215" s="1"/>
      <c r="G215" s="1"/>
      <c r="H215" s="1"/>
      <c r="I215" s="1"/>
      <c r="J215" s="1"/>
      <c r="K215" s="1"/>
      <c r="P215">
        <f>'2- Prijzen'!V123</f>
        <v>0.67037469556828366</v>
      </c>
      <c r="T215">
        <f>'2- Prijzen'!AA123</f>
        <v>1.161698374790018</v>
      </c>
    </row>
    <row r="216" spans="1:28" x14ac:dyDescent="0.25">
      <c r="A216" s="4">
        <v>1798</v>
      </c>
      <c r="F216" s="1"/>
      <c r="G216" s="1"/>
      <c r="H216" s="1"/>
      <c r="I216" s="1"/>
      <c r="J216" s="1"/>
      <c r="K216" s="1"/>
      <c r="P216">
        <f>'2- Prijzen'!V124</f>
        <v>0.66870802890161707</v>
      </c>
      <c r="T216">
        <f>'2- Prijzen'!AA124</f>
        <v>1.164198374790018</v>
      </c>
    </row>
    <row r="217" spans="1:28" x14ac:dyDescent="0.25">
      <c r="A217" s="4">
        <v>1799</v>
      </c>
      <c r="F217" s="1">
        <f>'1- Export'!AB125</f>
        <v>3534000</v>
      </c>
      <c r="G217" s="1">
        <f>'1- Export'!AC125</f>
        <v>3534000</v>
      </c>
      <c r="H217" s="1">
        <f>'1- Export'!AD125</f>
        <v>3534000</v>
      </c>
      <c r="I217" s="1">
        <f>'1- Export'!AE125</f>
        <v>3114472</v>
      </c>
      <c r="J217" s="1">
        <f>'1- Export'!AF125</f>
        <v>3114472</v>
      </c>
      <c r="K217" s="1">
        <f>'1- Export'!AG125</f>
        <v>3114472</v>
      </c>
      <c r="P217">
        <f>'2- Prijzen'!V125</f>
        <v>0.66370802890161706</v>
      </c>
      <c r="T217">
        <f>'2- Prijzen'!AA125</f>
        <v>1.171698374790018</v>
      </c>
    </row>
    <row r="218" spans="1:28" x14ac:dyDescent="0.25">
      <c r="A218" s="4">
        <v>1800</v>
      </c>
      <c r="F218" s="1">
        <f>'1- Export'!AB126</f>
        <v>1750000</v>
      </c>
      <c r="G218" s="1">
        <f>'1- Export'!AC126</f>
        <v>1750000</v>
      </c>
      <c r="H218" s="1">
        <f>'1- Export'!AD126</f>
        <v>1750000</v>
      </c>
      <c r="I218" s="1"/>
      <c r="J218" s="1"/>
      <c r="K218" s="1"/>
    </row>
    <row r="219" spans="1:28" x14ac:dyDescent="0.25">
      <c r="A219" s="4">
        <v>1801</v>
      </c>
      <c r="F219" s="1">
        <f>'1- Export'!AB127</f>
        <v>10250000</v>
      </c>
      <c r="G219" s="1">
        <f>'1- Export'!AC127</f>
        <v>10250000</v>
      </c>
      <c r="H219" s="1">
        <f>'1- Export'!AD127</f>
        <v>10250000</v>
      </c>
      <c r="I219" s="1"/>
      <c r="J219" s="1"/>
      <c r="K219" s="1"/>
    </row>
    <row r="220" spans="1:28" x14ac:dyDescent="0.25">
      <c r="A220" s="4">
        <v>1802</v>
      </c>
      <c r="F220" s="1"/>
      <c r="G220" s="1"/>
      <c r="H220" s="1"/>
      <c r="I220" s="1"/>
      <c r="J220" s="1"/>
      <c r="K220" s="1"/>
    </row>
    <row r="221" spans="1:28" x14ac:dyDescent="0.25">
      <c r="A221" s="4">
        <v>1803</v>
      </c>
      <c r="F221" s="1"/>
      <c r="G221" s="1"/>
      <c r="H221" s="1"/>
      <c r="I221" s="1"/>
      <c r="J221" s="1"/>
      <c r="K221" s="1"/>
    </row>
    <row r="222" spans="1:28" x14ac:dyDescent="0.25">
      <c r="A222" s="4">
        <v>1804</v>
      </c>
      <c r="F222" s="1">
        <f>'1- Export'!AB130</f>
        <v>11310750</v>
      </c>
      <c r="G222" s="1">
        <f>'1- Export'!AC130</f>
        <v>11310750</v>
      </c>
      <c r="H222" s="1">
        <f>'1- Export'!AD130</f>
        <v>11310750</v>
      </c>
      <c r="I222" s="1">
        <f>'1- Export'!AE130</f>
        <v>3789864</v>
      </c>
      <c r="J222" s="1">
        <f>'1- Export'!AF130</f>
        <v>3789864</v>
      </c>
      <c r="K222" s="1">
        <f>'1- Export'!AG130</f>
        <v>3789864</v>
      </c>
    </row>
    <row r="223" spans="1:28" x14ac:dyDescent="0.25">
      <c r="A223" s="4">
        <v>1805</v>
      </c>
      <c r="F223" s="1">
        <f>'1- Export'!AB131</f>
        <v>5177250</v>
      </c>
      <c r="G223" s="1">
        <f>'1- Export'!AC131</f>
        <v>5177250</v>
      </c>
      <c r="H223" s="1">
        <f>'1- Export'!AD131</f>
        <v>5177250</v>
      </c>
      <c r="I223" s="1">
        <f>'1- Export'!AE131</f>
        <v>3050755</v>
      </c>
      <c r="J223" s="1">
        <f>'1- Export'!AF131</f>
        <v>3050755</v>
      </c>
      <c r="K223" s="1">
        <f>'1- Export'!AG131</f>
        <v>3050755</v>
      </c>
    </row>
    <row r="224" spans="1:28" x14ac:dyDescent="0.25">
      <c r="A224" s="4">
        <v>1806</v>
      </c>
      <c r="F224" s="1">
        <f>'1- Export'!AB132</f>
        <v>9914400</v>
      </c>
      <c r="G224" s="1">
        <f>'1- Export'!AC132</f>
        <v>9914400</v>
      </c>
      <c r="H224" s="1">
        <f>'1- Export'!AD132</f>
        <v>9914400</v>
      </c>
      <c r="I224" s="1">
        <f>'1- Export'!AE132</f>
        <v>5072097</v>
      </c>
      <c r="J224" s="1">
        <f>'1- Export'!AF132</f>
        <v>5072097</v>
      </c>
      <c r="K224" s="1">
        <f>'1- Export'!AG132</f>
        <v>5072097</v>
      </c>
    </row>
    <row r="225" spans="1:11" x14ac:dyDescent="0.25">
      <c r="A225" s="4">
        <v>1807</v>
      </c>
      <c r="F225" s="1">
        <f>'1- Export'!AB133</f>
        <v>10730250</v>
      </c>
      <c r="G225" s="1">
        <f>'1- Export'!AC133</f>
        <v>10730250</v>
      </c>
      <c r="H225" s="1">
        <f>'1- Export'!AD133</f>
        <v>10730250</v>
      </c>
      <c r="I225" s="1">
        <f>'1- Export'!AE133</f>
        <v>2462353</v>
      </c>
      <c r="J225" s="1">
        <f>'1- Export'!AF133</f>
        <v>2462353</v>
      </c>
      <c r="K225" s="1">
        <f>'1- Export'!AG133</f>
        <v>2462353</v>
      </c>
    </row>
    <row r="226" spans="1:11" x14ac:dyDescent="0.25">
      <c r="A226" s="4">
        <v>1808</v>
      </c>
      <c r="F226" s="1">
        <f>'1- Export'!AB134</f>
        <v>8765100</v>
      </c>
      <c r="G226" s="1">
        <f>'1- Export'!AC134</f>
        <v>8765100</v>
      </c>
      <c r="H226" s="1">
        <f>'1- Export'!AD134</f>
        <v>8765100</v>
      </c>
      <c r="I226" s="1">
        <f>'1- Export'!AE134</f>
        <v>3780819</v>
      </c>
      <c r="J226" s="1">
        <f>'1- Export'!AF134</f>
        <v>3780819</v>
      </c>
      <c r="K226" s="1">
        <f>'1- Export'!AG134</f>
        <v>3780819</v>
      </c>
    </row>
    <row r="227" spans="1:11" x14ac:dyDescent="0.25">
      <c r="A227" s="4">
        <v>1809</v>
      </c>
      <c r="F227" s="1">
        <f>'1- Export'!AB135</f>
        <v>7812000</v>
      </c>
      <c r="G227" s="1">
        <f>'1- Export'!AC135</f>
        <v>7812000</v>
      </c>
      <c r="H227" s="1">
        <f>'1- Export'!AD135</f>
        <v>7812000</v>
      </c>
      <c r="I227" s="1">
        <f>'1- Export'!AE135</f>
        <v>1909036</v>
      </c>
      <c r="J227" s="1">
        <f>'1- Export'!AF135</f>
        <v>1909036</v>
      </c>
      <c r="K227" s="1">
        <f>'1- Export'!AG135</f>
        <v>1909036</v>
      </c>
    </row>
    <row r="228" spans="1:11" x14ac:dyDescent="0.25">
      <c r="A228" s="4">
        <v>1810</v>
      </c>
      <c r="F228" s="1">
        <f>'1- Export'!AB136</f>
        <v>8555180</v>
      </c>
      <c r="G228" s="1">
        <f>'1- Export'!AC136</f>
        <v>8555180</v>
      </c>
      <c r="H228" s="1">
        <f>'1- Export'!AD136</f>
        <v>8555180</v>
      </c>
      <c r="I228" s="1">
        <f>'1- Export'!AE136</f>
        <v>3290123</v>
      </c>
      <c r="J228" s="1">
        <f>'1- Export'!AF136</f>
        <v>3290123</v>
      </c>
      <c r="K228" s="1">
        <f>'1- Export'!AG136</f>
        <v>3290123</v>
      </c>
    </row>
    <row r="229" spans="1:11" x14ac:dyDescent="0.25">
      <c r="A229" s="4">
        <v>1811</v>
      </c>
      <c r="F229" s="1">
        <f>'1- Export'!AB137</f>
        <v>10019840</v>
      </c>
      <c r="G229" s="1">
        <f>'1- Export'!AC137</f>
        <v>10019840</v>
      </c>
      <c r="H229" s="1">
        <f>'1- Export'!AD137</f>
        <v>10019840</v>
      </c>
      <c r="I229" s="1">
        <f>'1- Export'!AE137</f>
        <v>3678094</v>
      </c>
      <c r="J229" s="1">
        <f>'1- Export'!AF137</f>
        <v>3678094</v>
      </c>
      <c r="K229" s="1">
        <f>'1- Export'!AG137</f>
        <v>3678094</v>
      </c>
    </row>
    <row r="230" spans="1:11" x14ac:dyDescent="0.25">
      <c r="A230" s="4">
        <v>1812</v>
      </c>
      <c r="F230" s="1">
        <f>'1- Export'!AB138</f>
        <v>7201200</v>
      </c>
      <c r="G230" s="1">
        <f>'1- Export'!AC138</f>
        <v>7201200</v>
      </c>
      <c r="H230" s="1">
        <f>'1- Export'!AD138</f>
        <v>7201200</v>
      </c>
      <c r="I230" s="1">
        <f>'1- Export'!AE138</f>
        <v>2180535</v>
      </c>
      <c r="J230" s="1">
        <f>'1- Export'!AF138</f>
        <v>2180535</v>
      </c>
      <c r="K230" s="1">
        <f>'1- Export'!AG138</f>
        <v>2180535</v>
      </c>
    </row>
    <row r="231" spans="1:11" x14ac:dyDescent="0.25">
      <c r="A231" s="4">
        <v>1813</v>
      </c>
      <c r="F231" s="1"/>
      <c r="G231" s="1"/>
      <c r="H231" s="1"/>
      <c r="I231" s="1"/>
      <c r="J231" s="1"/>
      <c r="K231" s="1"/>
    </row>
    <row r="232" spans="1:11" x14ac:dyDescent="0.25">
      <c r="A232" s="4">
        <v>1814</v>
      </c>
      <c r="F232" s="1">
        <f>'1- Export'!AB140</f>
        <v>7131720</v>
      </c>
      <c r="G232" s="1">
        <f>'1- Export'!AC140</f>
        <v>7131720</v>
      </c>
      <c r="H232" s="1">
        <f>'1- Export'!AD140</f>
        <v>7131720</v>
      </c>
      <c r="I232" s="1">
        <f>'1- Export'!AE140</f>
        <v>2213914</v>
      </c>
      <c r="J232" s="1">
        <f>'1- Export'!AF140</f>
        <v>2213914</v>
      </c>
      <c r="K232" s="1">
        <f>'1- Export'!AG140</f>
        <v>2213914</v>
      </c>
    </row>
    <row r="233" spans="1:11" x14ac:dyDescent="0.25">
      <c r="A233" s="4">
        <v>1815</v>
      </c>
      <c r="F233" s="1"/>
      <c r="G233" s="1"/>
      <c r="H233" s="1"/>
      <c r="I233" s="1"/>
      <c r="J233" s="1"/>
      <c r="K233" s="1"/>
    </row>
    <row r="234" spans="1:11" x14ac:dyDescent="0.25">
      <c r="A234" s="5">
        <v>1816</v>
      </c>
      <c r="F234" s="1"/>
      <c r="G234" s="1"/>
      <c r="H234" s="1"/>
      <c r="I234" s="1"/>
      <c r="J234" s="1"/>
      <c r="K234" s="1"/>
    </row>
    <row r="235" spans="1:11" x14ac:dyDescent="0.25">
      <c r="A235" s="5">
        <v>1817</v>
      </c>
      <c r="F235" s="1"/>
      <c r="G235" s="1"/>
      <c r="H235" s="1"/>
      <c r="I235" s="1"/>
      <c r="J235" s="1"/>
      <c r="K235" s="1"/>
    </row>
    <row r="236" spans="1:11" x14ac:dyDescent="0.25">
      <c r="A236" s="5">
        <v>1818</v>
      </c>
      <c r="F236" s="1"/>
      <c r="G236" s="1"/>
      <c r="H236" s="1"/>
      <c r="I236" s="1"/>
      <c r="J236" s="1"/>
      <c r="K236" s="1"/>
    </row>
    <row r="237" spans="1:11" x14ac:dyDescent="0.25">
      <c r="A237" s="5">
        <v>1819</v>
      </c>
      <c r="F237" s="1"/>
      <c r="G237" s="1"/>
      <c r="H237" s="1"/>
      <c r="I237" s="1"/>
      <c r="J237" s="1"/>
      <c r="K237" s="1"/>
    </row>
    <row r="238" spans="1:11" x14ac:dyDescent="0.25">
      <c r="A238" s="5">
        <v>1820</v>
      </c>
      <c r="F238" s="1"/>
      <c r="G238" s="1"/>
      <c r="H238" s="1"/>
      <c r="I238" s="1"/>
      <c r="J238" s="1"/>
      <c r="K23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zoomScale="70" zoomScaleNormal="70" workbookViewId="0">
      <selection activeCell="F6" sqref="F6"/>
    </sheetView>
  </sheetViews>
  <sheetFormatPr defaultRowHeight="15" x14ac:dyDescent="0.25"/>
  <cols>
    <col min="2" max="2" width="11.140625" customWidth="1"/>
  </cols>
  <sheetData>
    <row r="2" spans="1:6" x14ac:dyDescent="0.25">
      <c r="B2" s="1" t="s">
        <v>6</v>
      </c>
      <c r="E2" t="s">
        <v>29</v>
      </c>
    </row>
    <row r="3" spans="1:6" x14ac:dyDescent="0.25">
      <c r="B3" t="s">
        <v>7</v>
      </c>
    </row>
    <row r="4" spans="1:6" x14ac:dyDescent="0.25">
      <c r="B4" t="s">
        <v>2</v>
      </c>
      <c r="E4" t="s">
        <v>27</v>
      </c>
      <c r="F4" t="s">
        <v>30</v>
      </c>
    </row>
    <row r="5" spans="1:6" x14ac:dyDescent="0.25">
      <c r="B5" t="s">
        <v>8</v>
      </c>
      <c r="C5" t="s">
        <v>9</v>
      </c>
      <c r="F5" t="s">
        <v>31</v>
      </c>
    </row>
    <row r="6" spans="1:6" x14ac:dyDescent="0.25">
      <c r="A6" t="s">
        <v>28</v>
      </c>
      <c r="E6">
        <v>650</v>
      </c>
    </row>
    <row r="7" spans="1:6" x14ac:dyDescent="0.25">
      <c r="A7" t="s">
        <v>10</v>
      </c>
      <c r="B7">
        <v>330</v>
      </c>
      <c r="C7">
        <v>275</v>
      </c>
      <c r="E7">
        <v>800</v>
      </c>
    </row>
    <row r="8" spans="1:6" x14ac:dyDescent="0.25">
      <c r="A8" t="s">
        <v>11</v>
      </c>
      <c r="B8">
        <v>330</v>
      </c>
      <c r="C8">
        <v>275</v>
      </c>
      <c r="E8">
        <v>800</v>
      </c>
    </row>
    <row r="9" spans="1:6" x14ac:dyDescent="0.25">
      <c r="A9" t="s">
        <v>12</v>
      </c>
      <c r="B9">
        <v>330</v>
      </c>
      <c r="C9">
        <v>275</v>
      </c>
      <c r="E9">
        <v>800</v>
      </c>
    </row>
    <row r="10" spans="1:6" x14ac:dyDescent="0.25">
      <c r="A10" t="s">
        <v>13</v>
      </c>
      <c r="B10">
        <v>360</v>
      </c>
      <c r="C10">
        <v>300</v>
      </c>
      <c r="E10">
        <v>875</v>
      </c>
    </row>
    <row r="11" spans="1:6" x14ac:dyDescent="0.25">
      <c r="A11" t="s">
        <v>14</v>
      </c>
      <c r="B11">
        <v>390</v>
      </c>
      <c r="C11">
        <v>325</v>
      </c>
      <c r="E11">
        <v>945</v>
      </c>
    </row>
    <row r="12" spans="1:6" x14ac:dyDescent="0.25">
      <c r="A12" t="s">
        <v>15</v>
      </c>
      <c r="B12">
        <v>400</v>
      </c>
      <c r="C12">
        <v>335</v>
      </c>
      <c r="E12">
        <v>970</v>
      </c>
    </row>
    <row r="13" spans="1:6" x14ac:dyDescent="0.25">
      <c r="A13" t="s">
        <v>16</v>
      </c>
      <c r="B13">
        <v>450</v>
      </c>
      <c r="C13">
        <v>375</v>
      </c>
    </row>
    <row r="14" spans="1:6" x14ac:dyDescent="0.25">
      <c r="A14" t="s">
        <v>17</v>
      </c>
      <c r="B14">
        <v>515</v>
      </c>
      <c r="C14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4</vt:i4>
      </vt:variant>
    </vt:vector>
  </HeadingPairs>
  <TitlesOfParts>
    <vt:vector size="10" baseType="lpstr">
      <vt:lpstr>1- Export</vt:lpstr>
      <vt:lpstr>2- Prijzen</vt:lpstr>
      <vt:lpstr>3- Gelderblom Suiker 17e e</vt:lpstr>
      <vt:lpstr>4- Gelderblom Import Suiker 17e</vt:lpstr>
      <vt:lpstr>5- Opbrengst</vt:lpstr>
      <vt:lpstr>Oxhoofd - kg</vt:lpstr>
      <vt:lpstr>Grafiek export suiker en koffie</vt:lpstr>
      <vt:lpstr>Grafiek prijzen suiker</vt:lpstr>
      <vt:lpstr>Grafiek Opbrengst Suiker</vt:lpstr>
      <vt:lpstr>Grafiek Opbrengst Koffie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2013-06-11T13:12:57Z</dcterms:modified>
</cp:coreProperties>
</file>