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05" windowWidth="11355" windowHeight="7785" firstSheet="13" activeTab="19"/>
  </bookViews>
  <sheets>
    <sheet name="incomeVOC and total income" sheetId="1" r:id="rId1"/>
    <sheet name="Wissel transfers from the Cape" sheetId="2" r:id="rId2"/>
    <sheet name="Gross receipts from VOC sales" sheetId="4" r:id="rId3"/>
    <sheet name="Meat supplied to the Company" sheetId="5" r:id="rId4"/>
    <sheet name="Company establishment" sheetId="6" r:id="rId5"/>
    <sheet name="Population" sheetId="7" r:id="rId6"/>
    <sheet name="Exports in money value" sheetId="8" r:id="rId7"/>
    <sheet name="Exports of wines" sheetId="11" r:id="rId8"/>
    <sheet name="Export of butter" sheetId="12" r:id="rId9"/>
    <sheet name="Agricultural production" sheetId="19" r:id="rId10"/>
    <sheet name="Consumption of wheat" sheetId="20" r:id="rId11"/>
    <sheet name="Production or wheat" sheetId="21" r:id="rId12"/>
    <sheet name="Yield ratios" sheetId="22" r:id="rId13"/>
    <sheet name="Taxation on wine" sheetId="23" r:id="rId14"/>
    <sheet name="VOC income" sheetId="24" r:id="rId15"/>
    <sheet name="Livestock in possession" sheetId="25" r:id="rId16"/>
    <sheet name="Exports" sheetId="28" r:id="rId17"/>
    <sheet name="ships" sheetId="31" r:id="rId18"/>
    <sheet name="resteconomy" sheetId="32" r:id="rId19"/>
    <sheet name="total economy" sheetId="33" r:id="rId20"/>
  </sheets>
  <calcPr calcId="145621"/>
</workbook>
</file>

<file path=xl/calcChain.xml><?xml version="1.0" encoding="utf-8"?>
<calcChain xmlns="http://schemas.openxmlformats.org/spreadsheetml/2006/main">
  <c r="H3" i="33" l="1"/>
  <c r="AB95" i="33"/>
  <c r="AB94" i="33"/>
  <c r="AB93" i="33"/>
  <c r="AB92" i="33"/>
  <c r="AB91" i="33"/>
  <c r="AB90" i="33"/>
  <c r="AB89" i="33"/>
  <c r="AB88" i="33"/>
  <c r="AB87" i="33"/>
  <c r="AB86" i="33"/>
  <c r="AB85" i="33"/>
  <c r="AB84" i="33"/>
  <c r="AB83" i="33"/>
  <c r="AB82" i="33"/>
  <c r="AB81" i="33"/>
  <c r="AB80" i="33"/>
  <c r="AB79" i="33"/>
  <c r="AB78" i="33"/>
  <c r="AB77" i="33"/>
  <c r="AB76" i="33"/>
  <c r="AB75" i="33"/>
  <c r="AB74" i="33"/>
  <c r="AB73" i="33"/>
  <c r="AB72" i="33"/>
  <c r="AB71" i="33"/>
  <c r="AB70" i="33"/>
  <c r="AB69" i="33"/>
  <c r="AB68" i="33"/>
  <c r="AB67" i="33"/>
  <c r="AB66" i="33"/>
  <c r="AB65" i="33"/>
  <c r="AB64" i="33"/>
  <c r="AB63" i="33"/>
  <c r="AB62" i="33"/>
  <c r="AB61" i="33"/>
  <c r="AB60" i="33"/>
  <c r="AB59" i="33"/>
  <c r="AB58" i="33"/>
  <c r="AB57" i="33"/>
  <c r="AB56" i="33"/>
  <c r="AB55" i="33"/>
  <c r="AB54" i="33"/>
  <c r="AB53" i="33"/>
  <c r="AB52" i="33"/>
  <c r="AB51" i="33"/>
  <c r="AB50" i="33"/>
  <c r="AB49" i="33"/>
  <c r="AB48" i="33"/>
  <c r="AB47" i="33"/>
  <c r="AB46" i="33"/>
  <c r="AB45" i="33"/>
  <c r="AB44" i="33"/>
  <c r="AB43" i="33"/>
  <c r="AB42" i="33"/>
  <c r="AB41" i="33"/>
  <c r="AB40" i="33"/>
  <c r="AB39" i="33"/>
  <c r="AB38" i="33"/>
  <c r="AB37" i="33"/>
  <c r="AB36" i="33"/>
  <c r="AB35" i="33"/>
  <c r="AB34" i="33"/>
  <c r="AB33" i="33"/>
  <c r="AB32" i="33"/>
  <c r="AB31" i="33"/>
  <c r="AB30" i="33"/>
  <c r="AB29" i="33"/>
  <c r="AB28" i="33"/>
  <c r="AB27" i="33"/>
  <c r="AB26" i="33"/>
  <c r="AB25" i="33"/>
  <c r="AB24" i="33"/>
  <c r="AB23" i="33"/>
  <c r="AB22" i="33"/>
  <c r="AB21" i="33"/>
  <c r="AB20" i="33"/>
  <c r="AB19" i="33"/>
  <c r="AB18" i="33"/>
  <c r="AB17" i="33"/>
  <c r="AB16" i="33"/>
  <c r="AB15" i="33"/>
  <c r="AB14" i="33"/>
  <c r="AB13" i="33"/>
  <c r="AB12" i="33"/>
  <c r="AB11" i="33"/>
  <c r="AB10" i="33"/>
  <c r="AB9" i="33"/>
  <c r="AB8" i="33"/>
  <c r="AB7" i="33"/>
  <c r="AB6" i="33"/>
  <c r="AB5" i="33"/>
  <c r="AB4" i="33"/>
  <c r="AB3" i="33"/>
  <c r="V3" i="32"/>
  <c r="E97" i="32"/>
  <c r="E96" i="32"/>
  <c r="E95" i="32"/>
  <c r="E94" i="32"/>
  <c r="E93" i="32"/>
  <c r="E92" i="32"/>
  <c r="E91" i="32"/>
  <c r="E90" i="32"/>
  <c r="E89" i="32"/>
  <c r="E88" i="32"/>
  <c r="E87" i="32"/>
  <c r="E86" i="32"/>
  <c r="E85" i="32"/>
  <c r="E84" i="32"/>
  <c r="E83" i="32"/>
  <c r="E82" i="32"/>
  <c r="E81" i="32"/>
  <c r="E80" i="32"/>
  <c r="E79" i="32"/>
  <c r="E78" i="32"/>
  <c r="E77" i="32"/>
  <c r="E76" i="32"/>
  <c r="E75" i="32"/>
  <c r="E74" i="32"/>
  <c r="E73" i="32"/>
  <c r="E72" i="32"/>
  <c r="E71" i="32"/>
  <c r="E70" i="32"/>
  <c r="E69" i="32"/>
  <c r="E68" i="32"/>
  <c r="E67" i="32"/>
  <c r="E66" i="32"/>
  <c r="E65" i="32"/>
  <c r="E64" i="32"/>
  <c r="E63" i="32"/>
  <c r="E62" i="32"/>
  <c r="E61" i="32"/>
  <c r="E60" i="32"/>
  <c r="E59" i="32"/>
  <c r="E58" i="32"/>
  <c r="E57" i="32"/>
  <c r="E56" i="32"/>
  <c r="E55" i="32"/>
  <c r="E54" i="32"/>
  <c r="E53" i="32"/>
  <c r="E52" i="32"/>
  <c r="E51" i="32"/>
  <c r="E50" i="32"/>
  <c r="E49" i="32"/>
  <c r="E48" i="32"/>
  <c r="E47" i="32"/>
  <c r="E46" i="32"/>
  <c r="E45" i="32"/>
  <c r="E44" i="32"/>
  <c r="E43" i="32"/>
  <c r="E42" i="32"/>
  <c r="E41" i="32"/>
  <c r="E40" i="32"/>
  <c r="E39" i="32"/>
  <c r="E38" i="32"/>
  <c r="E37" i="32"/>
  <c r="E36" i="32"/>
  <c r="E35" i="32"/>
  <c r="E34" i="32"/>
  <c r="E33" i="32"/>
  <c r="E32" i="32"/>
  <c r="E31" i="32"/>
  <c r="E30" i="32"/>
  <c r="E29" i="32"/>
  <c r="E28" i="32"/>
  <c r="E27" i="32"/>
  <c r="E26" i="32"/>
  <c r="E25" i="32"/>
  <c r="E24" i="32"/>
  <c r="E23" i="32"/>
  <c r="E22" i="32"/>
  <c r="E21" i="32"/>
  <c r="E20" i="32"/>
  <c r="E19" i="32"/>
  <c r="E18" i="32"/>
  <c r="E17" i="32"/>
  <c r="E16" i="32"/>
  <c r="E15" i="32"/>
  <c r="E14" i="32"/>
  <c r="E13" i="32"/>
  <c r="E12" i="32"/>
  <c r="E11" i="32"/>
  <c r="E10" i="32"/>
  <c r="E9" i="32"/>
  <c r="E8" i="32"/>
  <c r="E7" i="32"/>
  <c r="E6" i="32"/>
  <c r="E5" i="32"/>
  <c r="E4" i="32"/>
  <c r="E3" i="32"/>
  <c r="AU98" i="19"/>
  <c r="AU97" i="19"/>
  <c r="Q98" i="7" l="1"/>
  <c r="R98" i="7" s="1"/>
  <c r="Q97" i="7"/>
  <c r="R97" i="7" s="1"/>
  <c r="Q96" i="7"/>
  <c r="R96" i="7" s="1"/>
  <c r="Q95" i="7"/>
  <c r="R95" i="7" s="1"/>
  <c r="Q94" i="7"/>
  <c r="R94" i="7" s="1"/>
  <c r="Q93" i="7"/>
  <c r="R93" i="7" s="1"/>
  <c r="Q92" i="7"/>
  <c r="R92" i="7" s="1"/>
  <c r="Q91" i="7"/>
  <c r="R91" i="7" s="1"/>
  <c r="Q90" i="7"/>
  <c r="R90" i="7" s="1"/>
  <c r="Q89" i="7"/>
  <c r="R89" i="7" s="1"/>
  <c r="Q88" i="7"/>
  <c r="R88" i="7" s="1"/>
  <c r="Q87" i="7"/>
  <c r="R87" i="7" s="1"/>
  <c r="Q86" i="7"/>
  <c r="R86" i="7" s="1"/>
  <c r="Q85" i="7"/>
  <c r="R85" i="7" s="1"/>
  <c r="Q84" i="7"/>
  <c r="R84" i="7" s="1"/>
  <c r="Q83" i="7"/>
  <c r="R83" i="7" s="1"/>
  <c r="Q82" i="7"/>
  <c r="R82" i="7" s="1"/>
  <c r="Q81" i="7"/>
  <c r="R81" i="7" s="1"/>
  <c r="Q80" i="7"/>
  <c r="R80" i="7" s="1"/>
  <c r="Q79" i="7"/>
  <c r="R79" i="7" s="1"/>
  <c r="Q78" i="7"/>
  <c r="R78" i="7" s="1"/>
  <c r="Q77" i="7"/>
  <c r="R77" i="7" s="1"/>
  <c r="Q76" i="7"/>
  <c r="R76" i="7" s="1"/>
  <c r="Q75" i="7"/>
  <c r="R75" i="7" s="1"/>
  <c r="Q74" i="7"/>
  <c r="R74" i="7" s="1"/>
  <c r="Q73" i="7"/>
  <c r="R73" i="7" s="1"/>
  <c r="Q72" i="7"/>
  <c r="R72" i="7" s="1"/>
  <c r="Q71" i="7"/>
  <c r="R71" i="7" s="1"/>
  <c r="Q70" i="7"/>
  <c r="R70" i="7" s="1"/>
  <c r="Q69" i="7"/>
  <c r="R69" i="7" s="1"/>
  <c r="Q68" i="7"/>
  <c r="R68" i="7" s="1"/>
  <c r="Q67" i="7"/>
  <c r="R67" i="7" s="1"/>
  <c r="Q66" i="7"/>
  <c r="R66" i="7" s="1"/>
  <c r="Q65" i="7"/>
  <c r="R65" i="7" s="1"/>
  <c r="Q64" i="7"/>
  <c r="R64" i="7" s="1"/>
  <c r="Q63" i="7"/>
  <c r="R63" i="7" s="1"/>
  <c r="AA63" i="7" s="1"/>
  <c r="Q62" i="7"/>
  <c r="R62" i="7" s="1"/>
  <c r="AA62" i="7" s="1"/>
  <c r="Q61" i="7"/>
  <c r="R61" i="7" s="1"/>
  <c r="AA61" i="7" s="1"/>
  <c r="Q60" i="7"/>
  <c r="R60" i="7" s="1"/>
  <c r="AA60" i="7" s="1"/>
  <c r="Q59" i="7"/>
  <c r="R59" i="7" s="1"/>
  <c r="AA59" i="7" s="1"/>
  <c r="Q58" i="7"/>
  <c r="R58" i="7" s="1"/>
  <c r="AA58" i="7" s="1"/>
  <c r="Q57" i="7"/>
  <c r="R57" i="7" s="1"/>
  <c r="AA57" i="7" s="1"/>
  <c r="Q56" i="7"/>
  <c r="R56" i="7" s="1"/>
  <c r="AA56" i="7" s="1"/>
  <c r="Q55" i="7"/>
  <c r="R55" i="7" s="1"/>
  <c r="AA55" i="7" s="1"/>
  <c r="Q54" i="7"/>
  <c r="R54" i="7" s="1"/>
  <c r="AA54" i="7" s="1"/>
  <c r="Q53" i="7"/>
  <c r="R53" i="7" s="1"/>
  <c r="AA53" i="7" s="1"/>
  <c r="Q52" i="7"/>
  <c r="R52" i="7" s="1"/>
  <c r="AA52" i="7" s="1"/>
  <c r="Q51" i="7"/>
  <c r="R51" i="7" s="1"/>
  <c r="AA51" i="7" s="1"/>
  <c r="Q50" i="7"/>
  <c r="R50" i="7" s="1"/>
  <c r="AA50" i="7" s="1"/>
  <c r="Q49" i="7"/>
  <c r="R49" i="7" s="1"/>
  <c r="AA49" i="7" s="1"/>
  <c r="Q48" i="7"/>
  <c r="R48" i="7" s="1"/>
  <c r="AA48" i="7" s="1"/>
  <c r="Q47" i="7"/>
  <c r="R47" i="7" s="1"/>
  <c r="AA47" i="7" s="1"/>
  <c r="Q46" i="7"/>
  <c r="R46" i="7" s="1"/>
  <c r="AA46" i="7" s="1"/>
  <c r="Q45" i="7"/>
  <c r="R45" i="7" s="1"/>
  <c r="AA45" i="7" s="1"/>
  <c r="Q44" i="7"/>
  <c r="R44" i="7" s="1"/>
  <c r="AA44" i="7" s="1"/>
  <c r="Q43" i="7"/>
  <c r="R43" i="7" s="1"/>
  <c r="AA43" i="7" s="1"/>
  <c r="Q42" i="7"/>
  <c r="R42" i="7" s="1"/>
  <c r="AA42" i="7" s="1"/>
  <c r="Q41" i="7"/>
  <c r="R41" i="7" s="1"/>
  <c r="AA41" i="7" s="1"/>
  <c r="Q40" i="7"/>
  <c r="R40" i="7" s="1"/>
  <c r="AA40" i="7" s="1"/>
  <c r="Q39" i="7"/>
  <c r="R39" i="7" s="1"/>
  <c r="AA39" i="7" s="1"/>
  <c r="Q38" i="7"/>
  <c r="R38" i="7" s="1"/>
  <c r="AA38" i="7" s="1"/>
  <c r="Q37" i="7"/>
  <c r="R37" i="7" s="1"/>
  <c r="AA37" i="7" s="1"/>
  <c r="Q36" i="7"/>
  <c r="R36" i="7" s="1"/>
  <c r="AA36" i="7" s="1"/>
  <c r="Q35" i="7"/>
  <c r="R35" i="7" s="1"/>
  <c r="AA35" i="7" s="1"/>
  <c r="Q34" i="7"/>
  <c r="R34" i="7" s="1"/>
  <c r="AA34" i="7" s="1"/>
  <c r="Q33" i="7"/>
  <c r="R33" i="7" s="1"/>
  <c r="AA33" i="7" s="1"/>
  <c r="Q32" i="7"/>
  <c r="R32" i="7" s="1"/>
  <c r="AA32" i="7" s="1"/>
  <c r="Q31" i="7"/>
  <c r="R31" i="7" s="1"/>
  <c r="AA31" i="7" s="1"/>
  <c r="Q30" i="7"/>
  <c r="R30" i="7" s="1"/>
  <c r="AA30" i="7" s="1"/>
  <c r="Q29" i="7"/>
  <c r="R29" i="7" s="1"/>
  <c r="AA29" i="7" s="1"/>
  <c r="Q28" i="7"/>
  <c r="R28" i="7" s="1"/>
  <c r="AA28" i="7" s="1"/>
  <c r="Q27" i="7"/>
  <c r="R27" i="7" s="1"/>
  <c r="AA27" i="7" s="1"/>
  <c r="Q26" i="7"/>
  <c r="R26" i="7" s="1"/>
  <c r="AA26" i="7" s="1"/>
  <c r="Q25" i="7"/>
  <c r="R25" i="7" s="1"/>
  <c r="AA25" i="7" s="1"/>
  <c r="Q24" i="7"/>
  <c r="R24" i="7" s="1"/>
  <c r="AA24" i="7" s="1"/>
  <c r="Q23" i="7"/>
  <c r="R23" i="7" s="1"/>
  <c r="AA23" i="7" s="1"/>
  <c r="Q22" i="7"/>
  <c r="R22" i="7" s="1"/>
  <c r="AA22" i="7" s="1"/>
  <c r="Q21" i="7"/>
  <c r="R21" i="7" s="1"/>
  <c r="AA21" i="7" s="1"/>
  <c r="Q20" i="7"/>
  <c r="R20" i="7" s="1"/>
  <c r="AA20" i="7" s="1"/>
  <c r="Q19" i="7"/>
  <c r="R19" i="7" s="1"/>
  <c r="AA19" i="7" s="1"/>
  <c r="Q18" i="7"/>
  <c r="R18" i="7" s="1"/>
  <c r="AA18" i="7" s="1"/>
  <c r="Q17" i="7"/>
  <c r="R17" i="7" s="1"/>
  <c r="AA17" i="7" s="1"/>
  <c r="Q16" i="7"/>
  <c r="R16" i="7" s="1"/>
  <c r="AA16" i="7" s="1"/>
  <c r="Q15" i="7"/>
  <c r="R15" i="7" s="1"/>
  <c r="AA15" i="7" s="1"/>
  <c r="Q14" i="7"/>
  <c r="R14" i="7" s="1"/>
  <c r="AA14" i="7" s="1"/>
  <c r="Q13" i="7"/>
  <c r="R13" i="7" s="1"/>
  <c r="AB13" i="7" s="1"/>
  <c r="Q12" i="7"/>
  <c r="R12" i="7" s="1"/>
  <c r="AB12" i="7" s="1"/>
  <c r="Q11" i="7"/>
  <c r="R11" i="7" s="1"/>
  <c r="AB11" i="7" s="1"/>
  <c r="Q10" i="7"/>
  <c r="R10" i="7" s="1"/>
  <c r="AB10" i="7" s="1"/>
  <c r="Q9" i="7"/>
  <c r="R9" i="7" s="1"/>
  <c r="AB9" i="7" s="1"/>
  <c r="Q8" i="7"/>
  <c r="R8" i="7" s="1"/>
  <c r="AB8" i="7" s="1"/>
  <c r="Q7" i="7"/>
  <c r="R7" i="7" s="1"/>
  <c r="AB7" i="7" s="1"/>
  <c r="Q6" i="7"/>
  <c r="R6" i="7" s="1"/>
  <c r="AB6" i="7" s="1"/>
  <c r="Q5" i="7"/>
  <c r="R5" i="7" s="1"/>
  <c r="AB5" i="7" s="1"/>
  <c r="Q4" i="7"/>
  <c r="R4" i="7" s="1"/>
  <c r="AB4" i="7" s="1"/>
  <c r="A80" i="5"/>
  <c r="A81" i="5" s="1"/>
  <c r="A82" i="5" s="1"/>
  <c r="A83" i="5" s="1"/>
  <c r="A84" i="5" s="1"/>
  <c r="A85" i="5" s="1"/>
  <c r="A86" i="5" s="1"/>
  <c r="A87" i="5" s="1"/>
  <c r="A88" i="5" s="1"/>
  <c r="A89" i="5" s="1"/>
  <c r="A90" i="5" s="1"/>
  <c r="A91" i="5" s="1"/>
  <c r="A92" i="5" s="1"/>
  <c r="A93" i="5" s="1"/>
  <c r="A94" i="5" s="1"/>
  <c r="A95" i="5" s="1"/>
  <c r="A96" i="5" s="1"/>
  <c r="A97" i="5" s="1"/>
  <c r="A79" i="5"/>
  <c r="AB64" i="7" l="1"/>
  <c r="AA64" i="7"/>
  <c r="AB66" i="7"/>
  <c r="AA66" i="7"/>
  <c r="AB70" i="7"/>
  <c r="AA70" i="7"/>
  <c r="AB72" i="7"/>
  <c r="AA72" i="7"/>
  <c r="AB74" i="7"/>
  <c r="AA74" i="7"/>
  <c r="AB76" i="7"/>
  <c r="AA76" i="7"/>
  <c r="AB80" i="7"/>
  <c r="AA80" i="7"/>
  <c r="AB82" i="7"/>
  <c r="AA82" i="7"/>
  <c r="AB84" i="7"/>
  <c r="AA84" i="7"/>
  <c r="AB86" i="7"/>
  <c r="AA86" i="7"/>
  <c r="AB90" i="7"/>
  <c r="AA90" i="7"/>
  <c r="AB92" i="7"/>
  <c r="AA92" i="7"/>
  <c r="AB94" i="7"/>
  <c r="AA94" i="7"/>
  <c r="AB65" i="7"/>
  <c r="AA65" i="7"/>
  <c r="AB67" i="7"/>
  <c r="AA67" i="7"/>
  <c r="AB69" i="7"/>
  <c r="AA69" i="7"/>
  <c r="AB71" i="7"/>
  <c r="AA71" i="7"/>
  <c r="AB73" i="7"/>
  <c r="AA73" i="7"/>
  <c r="AB75" i="7"/>
  <c r="AA75" i="7"/>
  <c r="AB77" i="7"/>
  <c r="AA77" i="7"/>
  <c r="AB79" i="7"/>
  <c r="AA79" i="7"/>
  <c r="AB81" i="7"/>
  <c r="AA81" i="7"/>
  <c r="AB83" i="7"/>
  <c r="AA83" i="7"/>
  <c r="AB85" i="7"/>
  <c r="AA85" i="7"/>
  <c r="AB87" i="7"/>
  <c r="AA87" i="7"/>
  <c r="AB89" i="7"/>
  <c r="AA89" i="7"/>
  <c r="AB91" i="7"/>
  <c r="AA91" i="7"/>
  <c r="AB93" i="7"/>
  <c r="AA93" i="7"/>
  <c r="AB95" i="7"/>
  <c r="AA95" i="7"/>
  <c r="AB97" i="7"/>
  <c r="AA97" i="7"/>
  <c r="AA4" i="7"/>
  <c r="AA5" i="7"/>
  <c r="AA6" i="7"/>
  <c r="AA7" i="7"/>
  <c r="AA8" i="7"/>
  <c r="AA9" i="7"/>
  <c r="AA10" i="7"/>
  <c r="AA11" i="7"/>
  <c r="AA12" i="7"/>
  <c r="AA13" i="7"/>
  <c r="AB14" i="7"/>
  <c r="AB16" i="7"/>
  <c r="AB18" i="7"/>
  <c r="AB20" i="7"/>
  <c r="AB22" i="7"/>
  <c r="AB24" i="7"/>
  <c r="AB26" i="7"/>
  <c r="AB28" i="7"/>
  <c r="AB30" i="7"/>
  <c r="AB32" i="7"/>
  <c r="AB34" i="7"/>
  <c r="AB36" i="7"/>
  <c r="AB38" i="7"/>
  <c r="AB40" i="7"/>
  <c r="AB42" i="7"/>
  <c r="AB44" i="7"/>
  <c r="AB46" i="7"/>
  <c r="AB48" i="7"/>
  <c r="AB50" i="7"/>
  <c r="AB52" i="7"/>
  <c r="AB54" i="7"/>
  <c r="AB56" i="7"/>
  <c r="AB58" i="7"/>
  <c r="AB60" i="7"/>
  <c r="AB62" i="7"/>
  <c r="AB68" i="7"/>
  <c r="AA68" i="7"/>
  <c r="AB78" i="7"/>
  <c r="AA78" i="7"/>
  <c r="AB88" i="7"/>
  <c r="AA88" i="7"/>
  <c r="AB96" i="7"/>
  <c r="AA96" i="7"/>
  <c r="AB98" i="7"/>
  <c r="AA98" i="7"/>
  <c r="AB15" i="7"/>
  <c r="AB17" i="7"/>
  <c r="AB19" i="7"/>
  <c r="AB21" i="7"/>
  <c r="AB23" i="7"/>
  <c r="AB25" i="7"/>
  <c r="AB27" i="7"/>
  <c r="AB29" i="7"/>
  <c r="AB31" i="7"/>
  <c r="AB33" i="7"/>
  <c r="AB35" i="7"/>
  <c r="AB37" i="7"/>
  <c r="AB39" i="7"/>
  <c r="AB41" i="7"/>
  <c r="AB43" i="7"/>
  <c r="AB45" i="7"/>
  <c r="AB47" i="7"/>
  <c r="AB49" i="7"/>
  <c r="AB51" i="7"/>
  <c r="AB53" i="7"/>
  <c r="AB55" i="7"/>
  <c r="AB57" i="7"/>
  <c r="AB59" i="7"/>
  <c r="AB61" i="7"/>
  <c r="AB63" i="7"/>
  <c r="G98" i="7"/>
  <c r="Y93" i="32" l="1"/>
  <c r="Y92" i="32"/>
  <c r="Y91" i="32"/>
  <c r="Y90" i="32"/>
  <c r="Y89" i="32"/>
  <c r="Y88" i="32"/>
  <c r="Y87" i="32"/>
  <c r="Y86" i="32"/>
  <c r="Y85" i="32"/>
  <c r="Y84" i="32"/>
  <c r="Y83" i="32"/>
  <c r="Y82" i="32"/>
  <c r="Y81" i="32"/>
  <c r="Y80" i="32"/>
  <c r="Y79" i="32"/>
  <c r="Y78" i="32"/>
  <c r="Y77" i="32"/>
  <c r="Y76" i="32"/>
  <c r="Y75" i="32"/>
  <c r="Y74" i="32"/>
  <c r="Y73" i="32"/>
  <c r="Y72" i="32"/>
  <c r="Y71" i="32"/>
  <c r="Y70" i="32"/>
  <c r="Y69" i="32"/>
  <c r="Y68" i="32"/>
  <c r="Y67" i="32"/>
  <c r="Y66" i="32"/>
  <c r="Y65" i="32"/>
  <c r="Y64" i="32"/>
  <c r="Y63" i="32"/>
  <c r="Y62" i="32"/>
  <c r="Y61" i="32"/>
  <c r="Y60" i="32"/>
  <c r="Y59" i="32"/>
  <c r="Y58" i="32"/>
  <c r="Y57" i="32"/>
  <c r="Y56" i="32"/>
  <c r="Y55" i="32"/>
  <c r="Y54" i="32"/>
  <c r="Y53" i="32"/>
  <c r="Y52" i="32"/>
  <c r="Y51" i="32"/>
  <c r="Y50" i="32"/>
  <c r="Y49" i="32"/>
  <c r="Y48" i="32"/>
  <c r="Y47" i="32"/>
  <c r="Y46" i="32"/>
  <c r="Y45" i="32"/>
  <c r="Y44" i="32"/>
  <c r="Y43" i="32"/>
  <c r="Y42" i="32"/>
  <c r="Y41" i="32"/>
  <c r="Y40" i="32"/>
  <c r="Y39" i="32"/>
  <c r="Y38" i="32"/>
  <c r="Y37" i="32"/>
  <c r="Y36" i="32"/>
  <c r="Y35" i="32"/>
  <c r="Y34" i="32"/>
  <c r="Y33" i="32"/>
  <c r="Y32" i="32"/>
  <c r="Y31" i="32"/>
  <c r="Y30" i="32"/>
  <c r="Y29" i="32"/>
  <c r="Y28" i="32"/>
  <c r="Y27" i="32"/>
  <c r="Y26" i="32"/>
  <c r="Y25" i="32"/>
  <c r="Y24" i="32"/>
  <c r="Y23" i="32"/>
  <c r="Y22" i="32"/>
  <c r="Y21" i="32"/>
  <c r="Y20" i="32"/>
  <c r="Y19" i="32"/>
  <c r="Y18" i="32"/>
  <c r="Y17" i="32"/>
  <c r="Y16" i="32"/>
  <c r="Y15" i="32"/>
  <c r="Y14" i="32"/>
  <c r="Y13" i="32"/>
  <c r="Y12" i="32"/>
  <c r="Y11" i="32"/>
  <c r="Y10" i="32"/>
  <c r="Y9" i="32"/>
  <c r="Y8" i="32"/>
  <c r="Y7" i="32"/>
  <c r="Y6" i="32"/>
  <c r="Y5" i="32"/>
  <c r="B97" i="19" l="1"/>
  <c r="AA93" i="32" s="1"/>
  <c r="B84" i="19"/>
  <c r="AA80" i="32" s="1"/>
  <c r="AA92" i="32"/>
  <c r="AA91" i="32"/>
  <c r="AA90" i="32"/>
  <c r="AA89" i="32"/>
  <c r="AA88" i="32"/>
  <c r="AA87" i="32"/>
  <c r="AA86" i="32"/>
  <c r="AA84" i="32"/>
  <c r="AA83" i="32"/>
  <c r="AA82" i="32"/>
  <c r="AA81" i="32"/>
  <c r="AA79" i="32"/>
  <c r="AA78" i="32"/>
  <c r="AA77" i="32"/>
  <c r="AA76" i="32"/>
  <c r="AA75" i="32"/>
  <c r="AA74" i="32"/>
  <c r="AA73" i="32"/>
  <c r="AA72" i="32"/>
  <c r="AA71" i="32"/>
  <c r="AA70" i="32"/>
  <c r="AA69" i="32"/>
  <c r="AA68" i="32"/>
  <c r="AA67" i="32"/>
  <c r="AA66" i="32"/>
  <c r="AA65" i="32"/>
  <c r="AA64" i="32"/>
  <c r="AA63" i="32"/>
  <c r="AA62" i="32"/>
  <c r="AA61" i="32"/>
  <c r="AA60" i="32"/>
  <c r="AA59" i="32"/>
  <c r="AA58" i="32"/>
  <c r="AA57" i="32"/>
  <c r="AA56" i="32"/>
  <c r="AA55" i="32"/>
  <c r="AA54" i="32"/>
  <c r="AA53" i="32"/>
  <c r="AA52" i="32"/>
  <c r="AA51" i="32"/>
  <c r="AA50" i="32"/>
  <c r="AA49" i="32"/>
  <c r="AA48" i="32"/>
  <c r="AA47" i="32"/>
  <c r="AA46" i="32"/>
  <c r="AA45" i="32"/>
  <c r="AA44" i="32"/>
  <c r="AA43" i="32"/>
  <c r="AA42" i="32"/>
  <c r="AA41" i="32"/>
  <c r="AA40" i="32"/>
  <c r="AA39" i="32"/>
  <c r="AA38" i="32"/>
  <c r="AA37" i="32"/>
  <c r="AA36" i="32"/>
  <c r="AA35" i="32"/>
  <c r="AA34" i="32"/>
  <c r="AA33" i="32"/>
  <c r="AA32" i="32"/>
  <c r="AA31" i="32"/>
  <c r="AA30" i="32"/>
  <c r="AA29" i="32"/>
  <c r="AA28" i="32"/>
  <c r="AA27" i="32"/>
  <c r="AA26" i="32"/>
  <c r="AA25" i="32"/>
  <c r="AA24" i="32"/>
  <c r="AA23" i="32"/>
  <c r="AA22" i="32"/>
  <c r="AA21" i="32"/>
  <c r="AA20" i="32"/>
  <c r="AA19" i="32"/>
  <c r="AA18" i="32"/>
  <c r="AA17" i="32"/>
  <c r="AA16" i="32"/>
  <c r="AA15" i="32"/>
  <c r="AA14" i="32"/>
  <c r="AA13" i="32"/>
  <c r="AA12" i="32"/>
  <c r="AA11" i="32"/>
  <c r="AA10" i="32"/>
  <c r="AA9" i="32"/>
  <c r="AA8" i="32"/>
  <c r="AA7" i="32"/>
  <c r="AA6" i="32"/>
  <c r="AA5" i="32"/>
  <c r="AA85" i="32" l="1"/>
  <c r="AB98" i="19" l="1"/>
  <c r="AB97" i="19"/>
  <c r="AB96" i="19"/>
  <c r="AB95" i="19"/>
  <c r="AB94" i="19"/>
  <c r="AB93" i="19"/>
  <c r="AB92" i="19"/>
  <c r="AB91" i="19"/>
  <c r="AB90" i="19"/>
  <c r="AB89" i="19"/>
  <c r="AB88" i="19"/>
  <c r="AB87" i="19"/>
  <c r="AB86" i="19"/>
  <c r="AB85" i="19"/>
  <c r="AB84" i="19"/>
  <c r="AB83" i="19"/>
  <c r="AB82" i="19"/>
  <c r="AB81" i="19"/>
  <c r="AB79" i="19"/>
  <c r="AB78" i="19"/>
  <c r="AB77" i="19"/>
  <c r="AB76" i="19"/>
  <c r="AB75" i="19"/>
  <c r="AB74" i="19"/>
  <c r="AB73" i="19"/>
  <c r="AB72" i="19"/>
  <c r="AB71" i="19"/>
  <c r="AB70" i="19"/>
  <c r="AB69" i="19"/>
  <c r="AB68" i="19"/>
  <c r="AB67" i="19"/>
  <c r="AB66" i="19"/>
  <c r="AB65" i="19"/>
  <c r="AB64" i="19"/>
  <c r="AB63" i="19"/>
  <c r="AB61" i="19"/>
  <c r="AB60" i="19"/>
  <c r="AB59" i="19"/>
  <c r="AB58" i="19"/>
  <c r="AB57" i="19"/>
  <c r="C97" i="19"/>
  <c r="AR98" i="19" l="1"/>
  <c r="AQ98" i="19"/>
  <c r="AP98" i="19"/>
  <c r="AR97" i="19"/>
  <c r="AQ97" i="19"/>
  <c r="AS97" i="19" s="1"/>
  <c r="AP97" i="19"/>
  <c r="S98" i="19"/>
  <c r="S97" i="19"/>
  <c r="AS98" i="19" l="1"/>
  <c r="K95" i="33"/>
  <c r="K89" i="33"/>
  <c r="AP96" i="19"/>
  <c r="D96" i="25" l="1"/>
  <c r="C96" i="25"/>
  <c r="Z96" i="25"/>
  <c r="C96" i="1"/>
  <c r="F97" i="7"/>
  <c r="E97" i="7"/>
  <c r="D97" i="7"/>
  <c r="C97" i="7"/>
  <c r="B97" i="7"/>
  <c r="Z96" i="33" l="1"/>
  <c r="M96" i="32" l="1"/>
  <c r="M95" i="32"/>
  <c r="M94" i="32"/>
  <c r="M93" i="32"/>
  <c r="M92" i="32"/>
  <c r="M91" i="32"/>
  <c r="M90" i="32"/>
  <c r="M89" i="32"/>
  <c r="M88" i="32"/>
  <c r="M87" i="32"/>
  <c r="M86" i="32"/>
  <c r="M85" i="32"/>
  <c r="M84" i="32"/>
  <c r="M83" i="32"/>
  <c r="M82" i="32"/>
  <c r="M81" i="32"/>
  <c r="M80" i="32"/>
  <c r="M79" i="32"/>
  <c r="M78" i="32"/>
  <c r="M77" i="32"/>
  <c r="M76" i="32"/>
  <c r="M75" i="32"/>
  <c r="M74" i="32"/>
  <c r="M73" i="32"/>
  <c r="M72" i="32"/>
  <c r="M71" i="32"/>
  <c r="M70" i="32"/>
  <c r="M69" i="32"/>
  <c r="M68" i="32"/>
  <c r="M67" i="32"/>
  <c r="M66" i="32"/>
  <c r="M65" i="32"/>
  <c r="M64" i="32"/>
  <c r="M63" i="32"/>
  <c r="M62" i="32"/>
  <c r="M61" i="32"/>
  <c r="M60" i="32"/>
  <c r="M59" i="32"/>
  <c r="M58" i="32"/>
  <c r="M57" i="32"/>
  <c r="M56" i="32"/>
  <c r="M55" i="32"/>
  <c r="M54" i="32"/>
  <c r="M53" i="32"/>
  <c r="M52" i="32"/>
  <c r="M51" i="32"/>
  <c r="M50" i="32"/>
  <c r="M49" i="32"/>
  <c r="M48" i="32"/>
  <c r="M47" i="32"/>
  <c r="M46" i="32"/>
  <c r="M45" i="32"/>
  <c r="M44" i="32"/>
  <c r="M43" i="32"/>
  <c r="M42" i="32"/>
  <c r="M41" i="32"/>
  <c r="M40" i="32"/>
  <c r="M39" i="32"/>
  <c r="M38" i="32"/>
  <c r="M37" i="32"/>
  <c r="M36" i="32"/>
  <c r="M35" i="32"/>
  <c r="M34" i="32"/>
  <c r="M33" i="32"/>
  <c r="M32" i="32"/>
  <c r="M31" i="32"/>
  <c r="M30" i="32"/>
  <c r="M29" i="32"/>
  <c r="M28" i="32"/>
  <c r="M27" i="32"/>
  <c r="M26" i="32"/>
  <c r="M25" i="32"/>
  <c r="M24" i="32"/>
  <c r="M23" i="32"/>
  <c r="M22" i="32"/>
  <c r="M21" i="32"/>
  <c r="M20" i="32"/>
  <c r="M19" i="32"/>
  <c r="M18" i="32"/>
  <c r="M17" i="32"/>
  <c r="M16" i="32"/>
  <c r="M15" i="32"/>
  <c r="M14" i="32"/>
  <c r="M13" i="32"/>
  <c r="M12" i="32"/>
  <c r="M11" i="32"/>
  <c r="M10" i="32"/>
  <c r="M9" i="32"/>
  <c r="M8" i="32"/>
  <c r="M7" i="32"/>
  <c r="M6" i="32"/>
  <c r="M5" i="32"/>
  <c r="M4" i="32"/>
  <c r="M3" i="32"/>
  <c r="J94" i="33"/>
  <c r="K94" i="33" s="1"/>
  <c r="J93" i="33"/>
  <c r="K93" i="33" s="1"/>
  <c r="J92" i="33"/>
  <c r="K92" i="33" s="1"/>
  <c r="J91" i="33"/>
  <c r="K91" i="33" s="1"/>
  <c r="J90" i="33"/>
  <c r="K90" i="33" s="1"/>
  <c r="J88" i="33"/>
  <c r="K88" i="33" s="1"/>
  <c r="J87" i="33"/>
  <c r="K87" i="33" s="1"/>
  <c r="J86" i="33"/>
  <c r="K86" i="33" s="1"/>
  <c r="J85" i="33"/>
  <c r="K85" i="33" s="1"/>
  <c r="J84" i="33"/>
  <c r="K84" i="33" s="1"/>
  <c r="J83" i="33"/>
  <c r="K83" i="33" s="1"/>
  <c r="J82" i="33"/>
  <c r="K82" i="33" s="1"/>
  <c r="J81" i="33"/>
  <c r="K81" i="33" s="1"/>
  <c r="J80" i="33"/>
  <c r="K80" i="33" s="1"/>
  <c r="J79" i="33"/>
  <c r="K79" i="33" s="1"/>
  <c r="J78" i="33"/>
  <c r="K78" i="33" s="1"/>
  <c r="J77" i="33"/>
  <c r="K77" i="33" s="1"/>
  <c r="J76" i="33"/>
  <c r="K76" i="33" s="1"/>
  <c r="J75" i="33"/>
  <c r="K75" i="33" s="1"/>
  <c r="J74" i="33"/>
  <c r="K74" i="33" s="1"/>
  <c r="J73" i="33"/>
  <c r="K73" i="33" s="1"/>
  <c r="J72" i="33"/>
  <c r="K72" i="33" s="1"/>
  <c r="J71" i="33"/>
  <c r="K71" i="33" s="1"/>
  <c r="J70" i="33"/>
  <c r="K70" i="33" s="1"/>
  <c r="J69" i="33"/>
  <c r="K69" i="33" s="1"/>
  <c r="J68" i="33"/>
  <c r="K68" i="33" s="1"/>
  <c r="J67" i="33"/>
  <c r="K67" i="33" s="1"/>
  <c r="J66" i="33"/>
  <c r="K66" i="33" s="1"/>
  <c r="J65" i="33"/>
  <c r="K65" i="33" s="1"/>
  <c r="J64" i="33"/>
  <c r="K64" i="33" s="1"/>
  <c r="J63" i="33"/>
  <c r="K63" i="33" s="1"/>
  <c r="J62" i="33"/>
  <c r="K62" i="33" s="1"/>
  <c r="J61" i="33"/>
  <c r="K61" i="33" s="1"/>
  <c r="J60" i="33"/>
  <c r="K60" i="33" s="1"/>
  <c r="J59" i="33"/>
  <c r="K59" i="33" s="1"/>
  <c r="J58" i="33"/>
  <c r="K58" i="33" s="1"/>
  <c r="J57" i="33"/>
  <c r="K57" i="33" s="1"/>
  <c r="J56" i="33"/>
  <c r="K56" i="33" s="1"/>
  <c r="J55" i="33"/>
  <c r="K55" i="33" s="1"/>
  <c r="J54" i="33"/>
  <c r="K54" i="33" s="1"/>
  <c r="J53" i="33"/>
  <c r="K53" i="33" s="1"/>
  <c r="J52" i="33"/>
  <c r="K52" i="33" s="1"/>
  <c r="J51" i="33"/>
  <c r="K51" i="33" s="1"/>
  <c r="J50" i="33"/>
  <c r="K50" i="33" s="1"/>
  <c r="J49" i="33"/>
  <c r="K49" i="33" s="1"/>
  <c r="J48" i="33"/>
  <c r="K48" i="33" s="1"/>
  <c r="J47" i="33"/>
  <c r="K47" i="33" s="1"/>
  <c r="J46" i="33"/>
  <c r="K46" i="33" s="1"/>
  <c r="J45" i="33"/>
  <c r="K45" i="33" s="1"/>
  <c r="J44" i="33"/>
  <c r="K44" i="33" s="1"/>
  <c r="J43" i="33"/>
  <c r="K43" i="33" s="1"/>
  <c r="J42" i="33"/>
  <c r="K42" i="33" s="1"/>
  <c r="J41" i="33"/>
  <c r="K41" i="33" s="1"/>
  <c r="J40" i="33"/>
  <c r="K40" i="33" s="1"/>
  <c r="J39" i="33"/>
  <c r="K39" i="33" s="1"/>
  <c r="J38" i="33"/>
  <c r="K38" i="33" s="1"/>
  <c r="J37" i="33"/>
  <c r="K37" i="33" s="1"/>
  <c r="J36" i="33"/>
  <c r="K36" i="33" s="1"/>
  <c r="J35" i="33"/>
  <c r="K35" i="33" s="1"/>
  <c r="J34" i="33"/>
  <c r="K34" i="33" s="1"/>
  <c r="J33" i="33"/>
  <c r="K33" i="33" s="1"/>
  <c r="J32" i="33"/>
  <c r="K32" i="33" s="1"/>
  <c r="J31" i="33"/>
  <c r="K31" i="33" s="1"/>
  <c r="J30" i="33"/>
  <c r="K30" i="33" s="1"/>
  <c r="J29" i="33"/>
  <c r="K29" i="33" s="1"/>
  <c r="J28" i="33"/>
  <c r="K28" i="33" s="1"/>
  <c r="J27" i="33"/>
  <c r="K27" i="33" s="1"/>
  <c r="J26" i="33"/>
  <c r="K26" i="33" s="1"/>
  <c r="J25" i="33"/>
  <c r="K25" i="33" s="1"/>
  <c r="J24" i="33"/>
  <c r="K24" i="33" s="1"/>
  <c r="J23" i="33"/>
  <c r="K23" i="33" s="1"/>
  <c r="J22" i="33"/>
  <c r="K22" i="33" s="1"/>
  <c r="J21" i="33"/>
  <c r="K21" i="33" s="1"/>
  <c r="J20" i="33"/>
  <c r="K20" i="33" s="1"/>
  <c r="J19" i="33"/>
  <c r="K19" i="33" s="1"/>
  <c r="J18" i="33"/>
  <c r="K18" i="33" s="1"/>
  <c r="J17" i="33"/>
  <c r="K17" i="33" s="1"/>
  <c r="J16" i="33"/>
  <c r="K16" i="33" s="1"/>
  <c r="J15" i="33"/>
  <c r="K15" i="33" s="1"/>
  <c r="J14" i="33"/>
  <c r="K14" i="33" s="1"/>
  <c r="J13" i="33"/>
  <c r="K13" i="33" s="1"/>
  <c r="J12" i="33"/>
  <c r="K12" i="33" s="1"/>
  <c r="J11" i="33"/>
  <c r="K11" i="33" s="1"/>
  <c r="J10" i="33"/>
  <c r="K10" i="33" s="1"/>
  <c r="J9" i="33"/>
  <c r="K9" i="33" s="1"/>
  <c r="J8" i="33"/>
  <c r="K8" i="33" s="1"/>
  <c r="J7" i="33"/>
  <c r="K7" i="33" s="1"/>
  <c r="J6" i="33"/>
  <c r="K6" i="33" s="1"/>
  <c r="J5" i="33"/>
  <c r="K5" i="33" s="1"/>
  <c r="J4" i="33"/>
  <c r="K4" i="33" s="1"/>
  <c r="J3" i="33"/>
  <c r="K3" i="33" s="1"/>
  <c r="A5" i="33"/>
  <c r="A6" i="33" s="1"/>
  <c r="A7" i="33" s="1"/>
  <c r="A8" i="33" s="1"/>
  <c r="A9" i="33" s="1"/>
  <c r="A10" i="33" s="1"/>
  <c r="A11" i="33" s="1"/>
  <c r="A12" i="33" s="1"/>
  <c r="A13" i="33" s="1"/>
  <c r="A14" i="33" s="1"/>
  <c r="A15" i="33" s="1"/>
  <c r="A16" i="33" s="1"/>
  <c r="A17" i="33" s="1"/>
  <c r="A18" i="33" s="1"/>
  <c r="A19" i="33" s="1"/>
  <c r="A20" i="33" s="1"/>
  <c r="A21" i="33" s="1"/>
  <c r="A22" i="33" s="1"/>
  <c r="A23" i="33" s="1"/>
  <c r="A24" i="33" s="1"/>
  <c r="A25" i="33" s="1"/>
  <c r="A26" i="33" s="1"/>
  <c r="A27" i="33" s="1"/>
  <c r="A28" i="33" s="1"/>
  <c r="A29" i="33" s="1"/>
  <c r="A30" i="33" s="1"/>
  <c r="A31" i="33" s="1"/>
  <c r="A32" i="33" s="1"/>
  <c r="A33"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55" i="33" s="1"/>
  <c r="A56" i="33" s="1"/>
  <c r="A57" i="33" s="1"/>
  <c r="A58" i="33" s="1"/>
  <c r="A59" i="33" s="1"/>
  <c r="A60" i="33" s="1"/>
  <c r="A61" i="33" s="1"/>
  <c r="A62" i="33" s="1"/>
  <c r="A63" i="33" s="1"/>
  <c r="A64" i="33" s="1"/>
  <c r="A65" i="33" s="1"/>
  <c r="A66" i="33" s="1"/>
  <c r="A67" i="33" s="1"/>
  <c r="A68" i="33" s="1"/>
  <c r="A69" i="33" s="1"/>
  <c r="A70" i="33" s="1"/>
  <c r="A71" i="33" s="1"/>
  <c r="A72" i="33" s="1"/>
  <c r="A73" i="33" s="1"/>
  <c r="A74" i="33" s="1"/>
  <c r="A75" i="33" s="1"/>
  <c r="A76" i="33" s="1"/>
  <c r="A77" i="33" s="1"/>
  <c r="A78" i="33" s="1"/>
  <c r="A79" i="33" s="1"/>
  <c r="A80" i="33" s="1"/>
  <c r="A81" i="33" s="1"/>
  <c r="A82" i="33" s="1"/>
  <c r="A83" i="33" s="1"/>
  <c r="A84" i="33" s="1"/>
  <c r="A85" i="33" s="1"/>
  <c r="A86" i="33" s="1"/>
  <c r="A87" i="33" s="1"/>
  <c r="A88" i="33" s="1"/>
  <c r="A89" i="33" s="1"/>
  <c r="A90" i="33" s="1"/>
  <c r="A91" i="33" s="1"/>
  <c r="A92" i="33" s="1"/>
  <c r="A93" i="33" s="1"/>
  <c r="A94" i="33" s="1"/>
  <c r="A95" i="33" s="1"/>
  <c r="A96" i="33" s="1"/>
  <c r="A97" i="33" s="1"/>
  <c r="A98" i="33" s="1"/>
  <c r="A99" i="33" s="1"/>
  <c r="A100" i="33" s="1"/>
  <c r="A4" i="33"/>
  <c r="N96" i="32"/>
  <c r="N95" i="32"/>
  <c r="N94" i="32"/>
  <c r="N93" i="32"/>
  <c r="N92" i="32"/>
  <c r="N91" i="32"/>
  <c r="N90" i="32"/>
  <c r="N89" i="32"/>
  <c r="N88" i="32"/>
  <c r="N87" i="32"/>
  <c r="N86" i="32"/>
  <c r="N85" i="32"/>
  <c r="N84" i="32"/>
  <c r="N83" i="32"/>
  <c r="N82" i="32"/>
  <c r="N81" i="32"/>
  <c r="N80" i="32"/>
  <c r="N79" i="32"/>
  <c r="N78" i="32"/>
  <c r="N77" i="32"/>
  <c r="N75" i="32"/>
  <c r="N74" i="32"/>
  <c r="N73" i="32"/>
  <c r="N71" i="32"/>
  <c r="N70" i="32"/>
  <c r="N69" i="32"/>
  <c r="N68" i="32"/>
  <c r="N67" i="32"/>
  <c r="N66" i="32"/>
  <c r="N65" i="32"/>
  <c r="N64" i="32"/>
  <c r="N63" i="32"/>
  <c r="N62" i="32"/>
  <c r="N61" i="32"/>
  <c r="N60" i="32"/>
  <c r="N59" i="32"/>
  <c r="N58" i="32"/>
  <c r="N57" i="32"/>
  <c r="N56" i="32"/>
  <c r="N55" i="32"/>
  <c r="N54" i="32"/>
  <c r="N53" i="32"/>
  <c r="N52" i="32"/>
  <c r="N51" i="32"/>
  <c r="N50" i="32"/>
  <c r="K97" i="32"/>
  <c r="K96" i="32"/>
  <c r="K95" i="32"/>
  <c r="K94" i="32"/>
  <c r="K93" i="32"/>
  <c r="K92" i="32"/>
  <c r="K91" i="32"/>
  <c r="K90" i="32"/>
  <c r="K89" i="32"/>
  <c r="K88" i="32"/>
  <c r="K87" i="32"/>
  <c r="K86" i="32"/>
  <c r="K85" i="32"/>
  <c r="K84" i="32"/>
  <c r="K82" i="32"/>
  <c r="K81" i="32"/>
  <c r="K80" i="32"/>
  <c r="K79" i="32"/>
  <c r="K78" i="32"/>
  <c r="K77" i="32"/>
  <c r="K76" i="32"/>
  <c r="K75" i="32"/>
  <c r="K74" i="32"/>
  <c r="K73" i="32"/>
  <c r="K72" i="32"/>
  <c r="K71" i="32"/>
  <c r="K70" i="32"/>
  <c r="K69" i="32"/>
  <c r="K68" i="32"/>
  <c r="K67" i="32"/>
  <c r="K66" i="32"/>
  <c r="K65" i="32"/>
  <c r="K64" i="32"/>
  <c r="K63" i="32"/>
  <c r="K62" i="32"/>
  <c r="K61" i="32"/>
  <c r="K60" i="32"/>
  <c r="K59" i="32"/>
  <c r="K58" i="32"/>
  <c r="K57" i="32"/>
  <c r="K56" i="32"/>
  <c r="K55" i="32"/>
  <c r="K54" i="32"/>
  <c r="K53" i="32"/>
  <c r="K52" i="32"/>
  <c r="K51" i="32"/>
  <c r="K50" i="32"/>
  <c r="K49" i="32"/>
  <c r="K48" i="32"/>
  <c r="K47" i="32"/>
  <c r="K46" i="32"/>
  <c r="K45" i="32"/>
  <c r="K44" i="32"/>
  <c r="K43" i="32"/>
  <c r="K42" i="32"/>
  <c r="K41" i="32"/>
  <c r="K40" i="32"/>
  <c r="K39" i="32"/>
  <c r="K38" i="32"/>
  <c r="K37" i="32"/>
  <c r="K36" i="32"/>
  <c r="K35" i="32"/>
  <c r="K34" i="32"/>
  <c r="K33" i="32"/>
  <c r="K32" i="32"/>
  <c r="K31" i="32"/>
  <c r="K30" i="32"/>
  <c r="K29" i="32"/>
  <c r="K28" i="32"/>
  <c r="K27" i="32"/>
  <c r="K26" i="32"/>
  <c r="K25" i="32"/>
  <c r="K24" i="32"/>
  <c r="K23" i="32"/>
  <c r="K22" i="32"/>
  <c r="K21" i="32"/>
  <c r="K20" i="32"/>
  <c r="K19" i="32"/>
  <c r="K18" i="32"/>
  <c r="K17" i="32"/>
  <c r="K16" i="32"/>
  <c r="K15" i="32"/>
  <c r="K13" i="32"/>
  <c r="K12" i="32"/>
  <c r="K11" i="32"/>
  <c r="K10" i="32"/>
  <c r="K9" i="32"/>
  <c r="K8" i="32"/>
  <c r="K7" i="32"/>
  <c r="K6" i="32"/>
  <c r="K5" i="32"/>
  <c r="K4" i="32"/>
  <c r="K3" i="32"/>
  <c r="A5" i="32"/>
  <c r="A6" i="32" s="1"/>
  <c r="A7" i="32" s="1"/>
  <c r="A8" i="32" s="1"/>
  <c r="A9" i="32" s="1"/>
  <c r="A10" i="32" s="1"/>
  <c r="A11" i="32" s="1"/>
  <c r="A12" i="32" s="1"/>
  <c r="A13" i="32" s="1"/>
  <c r="A14" i="32" s="1"/>
  <c r="A15" i="32" s="1"/>
  <c r="A16" i="32" s="1"/>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50" i="32" s="1"/>
  <c r="A51" i="32" s="1"/>
  <c r="A52" i="32" s="1"/>
  <c r="A53" i="32" s="1"/>
  <c r="A54" i="32" s="1"/>
  <c r="A55" i="32" s="1"/>
  <c r="A56" i="32" s="1"/>
  <c r="A57" i="32" s="1"/>
  <c r="A58" i="32" s="1"/>
  <c r="A59" i="32" s="1"/>
  <c r="A60" i="32" s="1"/>
  <c r="A61" i="32" s="1"/>
  <c r="A62" i="32" s="1"/>
  <c r="A63" i="32" s="1"/>
  <c r="A64" i="32" s="1"/>
  <c r="A65" i="32" s="1"/>
  <c r="A66" i="32" s="1"/>
  <c r="A67" i="32" s="1"/>
  <c r="A68" i="32" s="1"/>
  <c r="A69" i="32" s="1"/>
  <c r="A70" i="32" s="1"/>
  <c r="A71" i="32" s="1"/>
  <c r="A72" i="32" s="1"/>
  <c r="A73" i="32" s="1"/>
  <c r="A74" i="32" s="1"/>
  <c r="A75" i="32" s="1"/>
  <c r="A76" i="32" s="1"/>
  <c r="A77" i="32" s="1"/>
  <c r="A78" i="32" s="1"/>
  <c r="A79" i="32" s="1"/>
  <c r="A80" i="32" s="1"/>
  <c r="A81" i="32" s="1"/>
  <c r="A82" i="32" s="1"/>
  <c r="A83" i="32" s="1"/>
  <c r="A84" i="32" s="1"/>
  <c r="A85" i="32" s="1"/>
  <c r="A86" i="32" s="1"/>
  <c r="A87" i="32" s="1"/>
  <c r="A88" i="32" s="1"/>
  <c r="A89" i="32" s="1"/>
  <c r="A90" i="32" s="1"/>
  <c r="A91" i="32" s="1"/>
  <c r="A92" i="32" s="1"/>
  <c r="A93" i="32" s="1"/>
  <c r="A94" i="32" s="1"/>
  <c r="A95" i="32" s="1"/>
  <c r="A96" i="32" s="1"/>
  <c r="A97" i="32" s="1"/>
  <c r="A98" i="32" s="1"/>
  <c r="A99" i="32" s="1"/>
  <c r="A100" i="32" s="1"/>
  <c r="A101" i="32" s="1"/>
  <c r="A102" i="32" s="1"/>
  <c r="A103" i="32" s="1"/>
  <c r="A104" i="32" s="1"/>
  <c r="A105" i="32" s="1"/>
  <c r="A106" i="32" s="1"/>
  <c r="A107" i="32" s="1"/>
  <c r="A108" i="32" s="1"/>
  <c r="A109" i="32" s="1"/>
  <c r="A110" i="32" s="1"/>
  <c r="A111" i="32" s="1"/>
  <c r="A112" i="32" s="1"/>
  <c r="A113" i="32" s="1"/>
  <c r="A114" i="32" s="1"/>
  <c r="A115" i="32" s="1"/>
  <c r="A116" i="32" s="1"/>
  <c r="A117" i="32" s="1"/>
  <c r="A118" i="32" s="1"/>
  <c r="A119" i="32" s="1"/>
  <c r="A120" i="32" s="1"/>
  <c r="A121" i="32" s="1"/>
  <c r="A122" i="32" s="1"/>
  <c r="A123" i="32" s="1"/>
  <c r="A124" i="32" s="1"/>
  <c r="A4" i="32"/>
  <c r="K83" i="32" l="1"/>
  <c r="AJ98" i="7"/>
  <c r="S3" i="1"/>
  <c r="AU96" i="19"/>
  <c r="AU95" i="19"/>
  <c r="AU94" i="19"/>
  <c r="AU93" i="19"/>
  <c r="AU92" i="19"/>
  <c r="AU91" i="19"/>
  <c r="AU90" i="19"/>
  <c r="AU89" i="19"/>
  <c r="AU88" i="19"/>
  <c r="AU87" i="19"/>
  <c r="AU86" i="19"/>
  <c r="AU85" i="19"/>
  <c r="AU84" i="19"/>
  <c r="AU83" i="19"/>
  <c r="AU82" i="19"/>
  <c r="AU81" i="19"/>
  <c r="AU80" i="19"/>
  <c r="AU79" i="19"/>
  <c r="AU78" i="19"/>
  <c r="AU77" i="19"/>
  <c r="AU76" i="19"/>
  <c r="AU75" i="19"/>
  <c r="AU74" i="19"/>
  <c r="AU73" i="19"/>
  <c r="AU72" i="19"/>
  <c r="AU71" i="19"/>
  <c r="AU70" i="19"/>
  <c r="AU69" i="19"/>
  <c r="AU68" i="19"/>
  <c r="AU67" i="19"/>
  <c r="AU66" i="19"/>
  <c r="AU65" i="19"/>
  <c r="AU64" i="19"/>
  <c r="AU63" i="19"/>
  <c r="AU62" i="19"/>
  <c r="AU61" i="19"/>
  <c r="AU60" i="19"/>
  <c r="AU59" i="19"/>
  <c r="AU58" i="19"/>
  <c r="AU57" i="19"/>
  <c r="AU56" i="19"/>
  <c r="AU55" i="19"/>
  <c r="AU54" i="19"/>
  <c r="AU53" i="19"/>
  <c r="AU52" i="19"/>
  <c r="AU51" i="19"/>
  <c r="AU50" i="19"/>
  <c r="AU49" i="19"/>
  <c r="AU48" i="19"/>
  <c r="AU47" i="19"/>
  <c r="AU46" i="19"/>
  <c r="AU45" i="19"/>
  <c r="AU44" i="19"/>
  <c r="AU43" i="19"/>
  <c r="AU42" i="19"/>
  <c r="AU41" i="19"/>
  <c r="AU40" i="19"/>
  <c r="AU39" i="19"/>
  <c r="AU38" i="19"/>
  <c r="AU37" i="19"/>
  <c r="AU36" i="19"/>
  <c r="AU35" i="19"/>
  <c r="AU34" i="19"/>
  <c r="AU33" i="19"/>
  <c r="AU32" i="19"/>
  <c r="AU31" i="19"/>
  <c r="AU30" i="19"/>
  <c r="AU29" i="19"/>
  <c r="AU28" i="19"/>
  <c r="AU27" i="19"/>
  <c r="AU26" i="19"/>
  <c r="AU25" i="19"/>
  <c r="AU24" i="19"/>
  <c r="AU23" i="19"/>
  <c r="AU22" i="19"/>
  <c r="AU21" i="19"/>
  <c r="AU20" i="19"/>
  <c r="AU19" i="19"/>
  <c r="AU18" i="19"/>
  <c r="AU17" i="19"/>
  <c r="AU16" i="19"/>
  <c r="AU15" i="19"/>
  <c r="AU14" i="19"/>
  <c r="AU13" i="19"/>
  <c r="AU12" i="19"/>
  <c r="AU11" i="19"/>
  <c r="AU10" i="19"/>
  <c r="AU9" i="19"/>
  <c r="AU8" i="19"/>
  <c r="AU7" i="19"/>
  <c r="AU6" i="19"/>
  <c r="AU5" i="19"/>
  <c r="AU4" i="19"/>
  <c r="AR96" i="19"/>
  <c r="AR95" i="19"/>
  <c r="AR94" i="19"/>
  <c r="AR93" i="19"/>
  <c r="AR92" i="19"/>
  <c r="AR91" i="19"/>
  <c r="AR90" i="19"/>
  <c r="AR89" i="19"/>
  <c r="AR88" i="19"/>
  <c r="AR87" i="19"/>
  <c r="AR86" i="19"/>
  <c r="AR85" i="19"/>
  <c r="AR84" i="19"/>
  <c r="AR83" i="19"/>
  <c r="AR82" i="19"/>
  <c r="AR81" i="19"/>
  <c r="AR80" i="19"/>
  <c r="AR79" i="19"/>
  <c r="AR78" i="19"/>
  <c r="AR77" i="19"/>
  <c r="AR76" i="19"/>
  <c r="AR75" i="19"/>
  <c r="AR74" i="19"/>
  <c r="AR73" i="19"/>
  <c r="AR72" i="19"/>
  <c r="AR71" i="19"/>
  <c r="AR70" i="19"/>
  <c r="AR69" i="19"/>
  <c r="AR68" i="19"/>
  <c r="AR67" i="19"/>
  <c r="AR66" i="19"/>
  <c r="AR65" i="19"/>
  <c r="AR64" i="19"/>
  <c r="AR63" i="19"/>
  <c r="AR62" i="19"/>
  <c r="AR61" i="19"/>
  <c r="AR60" i="19"/>
  <c r="AR59" i="19"/>
  <c r="AR58" i="19"/>
  <c r="AR57" i="19"/>
  <c r="AR56" i="19"/>
  <c r="AR55" i="19"/>
  <c r="AR54" i="19"/>
  <c r="AR53" i="19"/>
  <c r="AR52" i="19"/>
  <c r="AR51" i="19"/>
  <c r="AR50" i="19"/>
  <c r="AR49" i="19"/>
  <c r="AR48" i="19"/>
  <c r="AR47" i="19"/>
  <c r="AR46" i="19"/>
  <c r="AR45" i="19"/>
  <c r="AR44" i="19"/>
  <c r="AR43" i="19"/>
  <c r="AR42" i="19"/>
  <c r="AR41" i="19"/>
  <c r="AR40" i="19"/>
  <c r="AR39" i="19"/>
  <c r="AR38" i="19"/>
  <c r="AR37" i="19"/>
  <c r="AR36" i="19"/>
  <c r="AR35" i="19"/>
  <c r="AR34" i="19"/>
  <c r="AR33" i="19"/>
  <c r="AR32" i="19"/>
  <c r="AR31" i="19"/>
  <c r="AR30" i="19"/>
  <c r="AR29" i="19"/>
  <c r="AR28" i="19"/>
  <c r="AR27" i="19"/>
  <c r="AR26" i="19"/>
  <c r="AR25" i="19"/>
  <c r="AR24" i="19"/>
  <c r="AR23" i="19"/>
  <c r="AR22" i="19"/>
  <c r="AR21" i="19"/>
  <c r="AR20" i="19"/>
  <c r="AR19" i="19"/>
  <c r="AR18" i="19"/>
  <c r="AR17" i="19"/>
  <c r="AR16" i="19"/>
  <c r="AR15" i="19"/>
  <c r="AR14" i="19"/>
  <c r="AR13" i="19"/>
  <c r="AR12" i="19"/>
  <c r="AR11" i="19"/>
  <c r="AR10" i="19"/>
  <c r="AR9" i="19"/>
  <c r="AR8" i="19"/>
  <c r="AR7" i="19"/>
  <c r="AR6" i="19"/>
  <c r="AR5" i="19"/>
  <c r="AR4" i="19"/>
  <c r="AE95" i="19" l="1"/>
  <c r="AP95" i="19" s="1"/>
  <c r="AE94" i="19"/>
  <c r="AE93" i="19"/>
  <c r="AE92" i="19"/>
  <c r="AE91" i="19"/>
  <c r="AE89" i="19"/>
  <c r="AE88" i="19"/>
  <c r="AE87" i="19"/>
  <c r="AE86" i="19"/>
  <c r="AE85" i="19"/>
  <c r="AE84" i="19"/>
  <c r="AE83" i="19"/>
  <c r="AE82" i="19"/>
  <c r="AE81" i="19"/>
  <c r="AE80" i="19"/>
  <c r="AE79" i="19"/>
  <c r="AE78" i="19"/>
  <c r="AE77" i="19"/>
  <c r="AE76" i="19"/>
  <c r="AE75" i="19"/>
  <c r="AE74" i="19"/>
  <c r="AE73" i="19"/>
  <c r="AE72" i="19"/>
  <c r="AE71" i="19"/>
  <c r="AE70" i="19"/>
  <c r="AE69" i="19"/>
  <c r="AE68" i="19"/>
  <c r="AE67" i="19"/>
  <c r="AE66" i="19"/>
  <c r="AE65" i="19"/>
  <c r="AE64" i="19"/>
  <c r="AE63" i="19"/>
  <c r="AE62" i="19"/>
  <c r="AE61" i="19"/>
  <c r="AE60" i="19"/>
  <c r="AE59" i="19"/>
  <c r="AE58" i="19"/>
  <c r="AE57" i="19"/>
  <c r="AE56" i="19"/>
  <c r="AE55" i="19"/>
  <c r="AE54" i="19"/>
  <c r="AE53" i="19"/>
  <c r="AE52" i="19"/>
  <c r="AE51" i="19"/>
  <c r="AE50" i="19"/>
  <c r="AE49" i="19"/>
  <c r="AE48" i="19"/>
  <c r="AE47" i="19"/>
  <c r="AE46" i="19"/>
  <c r="AE45" i="19"/>
  <c r="AE44" i="19"/>
  <c r="AE43" i="19"/>
  <c r="AE42" i="19"/>
  <c r="AE41" i="19"/>
  <c r="AE40" i="19"/>
  <c r="AE39" i="19"/>
  <c r="AE38" i="19"/>
  <c r="AE37" i="19"/>
  <c r="AE36" i="19"/>
  <c r="AE35" i="19"/>
  <c r="AE34" i="19"/>
  <c r="AE33" i="19"/>
  <c r="AE32" i="19"/>
  <c r="AE31" i="19"/>
  <c r="AE30" i="19"/>
  <c r="AE29" i="19"/>
  <c r="AE28" i="19"/>
  <c r="AE27" i="19"/>
  <c r="AE26" i="19"/>
  <c r="AE25" i="19"/>
  <c r="AE24" i="19"/>
  <c r="AE23" i="19"/>
  <c r="AE22" i="19"/>
  <c r="AE21" i="19"/>
  <c r="AE20" i="19"/>
  <c r="AE19" i="19"/>
  <c r="AE18" i="19"/>
  <c r="AE17" i="19"/>
  <c r="AE16" i="19"/>
  <c r="AE15" i="19"/>
  <c r="AE14" i="19"/>
  <c r="AE13" i="19"/>
  <c r="AE12" i="19"/>
  <c r="AE11" i="19"/>
  <c r="AE10" i="19"/>
  <c r="AE9" i="19"/>
  <c r="AE8" i="19"/>
  <c r="AE7" i="19"/>
  <c r="AE6" i="19"/>
  <c r="AE5" i="19"/>
  <c r="AP5" i="19" s="1"/>
  <c r="AE4" i="19"/>
  <c r="AP4" i="19" s="1"/>
  <c r="J14" i="8"/>
  <c r="J92" i="8"/>
  <c r="AE90" i="19" s="1"/>
  <c r="R95" i="5"/>
  <c r="R94" i="5"/>
  <c r="R93" i="5"/>
  <c r="R92" i="5"/>
  <c r="R91" i="5"/>
  <c r="R90" i="5"/>
  <c r="R89" i="5"/>
  <c r="R88" i="5"/>
  <c r="R87" i="5"/>
  <c r="R86" i="5"/>
  <c r="R85" i="5"/>
  <c r="R84" i="5"/>
  <c r="R83" i="5"/>
  <c r="R82" i="5"/>
  <c r="R81" i="5"/>
  <c r="R80" i="5"/>
  <c r="R79" i="5"/>
  <c r="R78" i="5"/>
  <c r="R77" i="5"/>
  <c r="R76" i="5"/>
  <c r="R75" i="5"/>
  <c r="R74" i="5"/>
  <c r="R73" i="5"/>
  <c r="R72" i="5"/>
  <c r="R71" i="5"/>
  <c r="R70" i="5"/>
  <c r="R69" i="5"/>
  <c r="R68" i="5"/>
  <c r="R67" i="5"/>
  <c r="R66" i="5"/>
  <c r="R65" i="5"/>
  <c r="R64" i="5"/>
  <c r="R63" i="5"/>
  <c r="R62" i="5"/>
  <c r="R61" i="5"/>
  <c r="R60" i="5"/>
  <c r="R59" i="5"/>
  <c r="R58" i="5"/>
  <c r="R57" i="5"/>
  <c r="R56" i="5"/>
  <c r="R55" i="5"/>
  <c r="R54" i="5"/>
  <c r="R53" i="5"/>
  <c r="R52" i="5"/>
  <c r="R51" i="5"/>
  <c r="R50" i="5"/>
  <c r="R49" i="5"/>
  <c r="R48" i="5"/>
  <c r="R47" i="5"/>
  <c r="R46" i="5"/>
  <c r="R45" i="5"/>
  <c r="R44" i="5"/>
  <c r="R43" i="5"/>
  <c r="R42" i="5"/>
  <c r="R41" i="5"/>
  <c r="R40" i="5"/>
  <c r="R39" i="5"/>
  <c r="R38" i="5"/>
  <c r="R37" i="5"/>
  <c r="R36" i="5"/>
  <c r="R35" i="5"/>
  <c r="R34" i="5"/>
  <c r="R33" i="5"/>
  <c r="R32" i="5"/>
  <c r="R31" i="5"/>
  <c r="R30" i="5"/>
  <c r="R29" i="5"/>
  <c r="R28" i="5"/>
  <c r="R27" i="5"/>
  <c r="R26" i="5"/>
  <c r="R25" i="5"/>
  <c r="R24" i="5"/>
  <c r="R23" i="5"/>
  <c r="R22" i="5"/>
  <c r="R21" i="5"/>
  <c r="R20" i="5"/>
  <c r="R19" i="5"/>
  <c r="R18" i="5"/>
  <c r="R17" i="5"/>
  <c r="R16" i="5"/>
  <c r="R15" i="5"/>
  <c r="R14" i="5"/>
  <c r="R13" i="5"/>
  <c r="R12" i="5"/>
  <c r="R11" i="5"/>
  <c r="R10" i="5"/>
  <c r="R9" i="5"/>
  <c r="R8" i="5"/>
  <c r="R7" i="5"/>
  <c r="R6" i="5"/>
  <c r="R5" i="5"/>
  <c r="R4" i="5"/>
  <c r="R3" i="5"/>
  <c r="Q95" i="5"/>
  <c r="Z96" i="19" s="1"/>
  <c r="AQ96" i="19" s="1"/>
  <c r="AS96" i="19" s="1"/>
  <c r="L95" i="33" s="1"/>
  <c r="Q94" i="5"/>
  <c r="Z95" i="19" s="1"/>
  <c r="AQ95" i="19" s="1"/>
  <c r="Q93" i="5"/>
  <c r="Z94" i="19" s="1"/>
  <c r="AQ94" i="19" s="1"/>
  <c r="Q92" i="5"/>
  <c r="Z93" i="19" s="1"/>
  <c r="AQ93" i="19" s="1"/>
  <c r="Q91" i="5"/>
  <c r="Z92" i="19" s="1"/>
  <c r="Q90" i="5"/>
  <c r="Z91" i="19" s="1"/>
  <c r="Q89" i="5"/>
  <c r="Z90" i="19" s="1"/>
  <c r="Q88" i="5"/>
  <c r="Z89" i="19" s="1"/>
  <c r="Q87" i="5"/>
  <c r="Z88" i="19" s="1"/>
  <c r="Q86" i="5"/>
  <c r="Z87" i="19" s="1"/>
  <c r="Q85" i="5"/>
  <c r="Z86" i="19" s="1"/>
  <c r="Q84" i="5"/>
  <c r="Z85" i="19" s="1"/>
  <c r="Q83" i="5"/>
  <c r="Z84" i="19" s="1"/>
  <c r="Q82" i="5"/>
  <c r="Z83" i="19" s="1"/>
  <c r="Q81" i="5"/>
  <c r="Z82" i="19" s="1"/>
  <c r="Q80" i="5"/>
  <c r="Z81" i="19" s="1"/>
  <c r="Q79" i="5"/>
  <c r="Z80" i="19" s="1"/>
  <c r="Q78" i="5"/>
  <c r="Z79" i="19" s="1"/>
  <c r="Q77" i="5"/>
  <c r="Z78" i="19" s="1"/>
  <c r="Q76" i="5"/>
  <c r="Z77" i="19" s="1"/>
  <c r="Q75" i="5"/>
  <c r="Z76" i="19" s="1"/>
  <c r="Q74" i="5"/>
  <c r="Z75" i="19" s="1"/>
  <c r="Q73" i="5"/>
  <c r="Z74" i="19" s="1"/>
  <c r="Q72" i="5"/>
  <c r="Z73" i="19" s="1"/>
  <c r="Q71" i="5"/>
  <c r="Z72" i="19" s="1"/>
  <c r="Q70" i="5"/>
  <c r="Z71" i="19" s="1"/>
  <c r="Q69" i="5"/>
  <c r="Z70" i="19" s="1"/>
  <c r="Q68" i="5"/>
  <c r="Z69" i="19" s="1"/>
  <c r="Q67" i="5"/>
  <c r="Z68" i="19" s="1"/>
  <c r="Q66" i="5"/>
  <c r="Z67" i="19" s="1"/>
  <c r="Q65" i="5"/>
  <c r="Z66" i="19" s="1"/>
  <c r="Q64" i="5"/>
  <c r="Z65" i="19" s="1"/>
  <c r="Q63" i="5"/>
  <c r="Z64" i="19" s="1"/>
  <c r="Q62" i="5"/>
  <c r="Z63" i="19" s="1"/>
  <c r="Q61" i="5"/>
  <c r="Z62" i="19" s="1"/>
  <c r="Q60" i="5"/>
  <c r="Z61" i="19" s="1"/>
  <c r="Q59" i="5"/>
  <c r="Z60" i="19" s="1"/>
  <c r="Q58" i="5"/>
  <c r="Z59" i="19" s="1"/>
  <c r="Q57" i="5"/>
  <c r="Z58" i="19" s="1"/>
  <c r="Q56" i="5"/>
  <c r="Z57" i="19" s="1"/>
  <c r="Q55" i="5"/>
  <c r="Z56" i="19" s="1"/>
  <c r="Q54" i="5"/>
  <c r="Z55" i="19" s="1"/>
  <c r="Q53" i="5"/>
  <c r="Z54" i="19" s="1"/>
  <c r="Q52" i="5"/>
  <c r="Z53" i="19" s="1"/>
  <c r="Q51" i="5"/>
  <c r="Z52" i="19" s="1"/>
  <c r="Q50" i="5"/>
  <c r="Z51" i="19" s="1"/>
  <c r="Q49" i="5"/>
  <c r="Z50" i="19" s="1"/>
  <c r="Q48" i="5"/>
  <c r="Z49" i="19" s="1"/>
  <c r="Q47" i="5"/>
  <c r="Z48" i="19" s="1"/>
  <c r="Q46" i="5"/>
  <c r="Z47" i="19" s="1"/>
  <c r="Q45" i="5"/>
  <c r="Z46" i="19" s="1"/>
  <c r="Q44" i="5"/>
  <c r="Z45" i="19" s="1"/>
  <c r="Q43" i="5"/>
  <c r="Z44" i="19" s="1"/>
  <c r="Q42" i="5"/>
  <c r="Z43" i="19" s="1"/>
  <c r="Q41" i="5"/>
  <c r="Z42" i="19" s="1"/>
  <c r="Q40" i="5"/>
  <c r="Z41" i="19" s="1"/>
  <c r="Q39" i="5"/>
  <c r="Z40" i="19" s="1"/>
  <c r="Q38" i="5"/>
  <c r="Z39" i="19" s="1"/>
  <c r="Q37" i="5"/>
  <c r="Z38" i="19" s="1"/>
  <c r="Q36" i="5"/>
  <c r="Z37" i="19" s="1"/>
  <c r="Q35" i="5"/>
  <c r="Z36" i="19" s="1"/>
  <c r="Q34" i="5"/>
  <c r="Z35" i="19" s="1"/>
  <c r="Q33" i="5"/>
  <c r="Z34" i="19" s="1"/>
  <c r="Q32" i="5"/>
  <c r="Z33" i="19" s="1"/>
  <c r="Q31" i="5"/>
  <c r="Z32" i="19" s="1"/>
  <c r="Q30" i="5"/>
  <c r="Z31" i="19" s="1"/>
  <c r="Q29" i="5"/>
  <c r="Z30" i="19" s="1"/>
  <c r="Q28" i="5"/>
  <c r="Z29" i="19" s="1"/>
  <c r="Q27" i="5"/>
  <c r="Z28" i="19" s="1"/>
  <c r="Q26" i="5"/>
  <c r="Z27" i="19" s="1"/>
  <c r="Q25" i="5"/>
  <c r="Z26" i="19" s="1"/>
  <c r="Q24" i="5"/>
  <c r="Z25" i="19" s="1"/>
  <c r="Q23" i="5"/>
  <c r="Z24" i="19" s="1"/>
  <c r="Q22" i="5"/>
  <c r="Z23" i="19" s="1"/>
  <c r="Q21" i="5"/>
  <c r="Z22" i="19" s="1"/>
  <c r="Q20" i="5"/>
  <c r="Z21" i="19" s="1"/>
  <c r="Q19" i="5"/>
  <c r="Z20" i="19" s="1"/>
  <c r="Q18" i="5"/>
  <c r="Z19" i="19" s="1"/>
  <c r="Q17" i="5"/>
  <c r="Z18" i="19" s="1"/>
  <c r="Q16" i="5"/>
  <c r="Z17" i="19" s="1"/>
  <c r="Q15" i="5"/>
  <c r="Z16" i="19" s="1"/>
  <c r="Q14" i="5"/>
  <c r="Z15" i="19" s="1"/>
  <c r="Q13" i="5"/>
  <c r="Z14" i="19" s="1"/>
  <c r="Q12" i="5"/>
  <c r="Z13" i="19" s="1"/>
  <c r="Q11" i="5"/>
  <c r="Z12" i="19" s="1"/>
  <c r="Q10" i="5"/>
  <c r="Z11" i="19" s="1"/>
  <c r="Q9" i="5"/>
  <c r="Z10" i="19" s="1"/>
  <c r="Q8" i="5"/>
  <c r="Z9" i="19" s="1"/>
  <c r="Q7" i="5"/>
  <c r="Z8" i="19" s="1"/>
  <c r="Q6" i="5"/>
  <c r="Z7" i="19" s="1"/>
  <c r="Q5" i="5"/>
  <c r="Z6" i="19" s="1"/>
  <c r="Q4" i="5"/>
  <c r="Z5" i="19" s="1"/>
  <c r="Q3" i="5"/>
  <c r="Z4" i="19" s="1"/>
  <c r="AQ7" i="19" l="1"/>
  <c r="AS7" i="19" s="1"/>
  <c r="L6" i="33" s="1"/>
  <c r="AQ17" i="19"/>
  <c r="AQ29" i="19"/>
  <c r="AQ39" i="19"/>
  <c r="AQ47" i="19"/>
  <c r="AS47" i="19" s="1"/>
  <c r="L46" i="33" s="1"/>
  <c r="AQ53" i="19"/>
  <c r="AQ57" i="19"/>
  <c r="AQ59" i="19"/>
  <c r="AQ61" i="19"/>
  <c r="AQ63" i="19"/>
  <c r="AQ65" i="19"/>
  <c r="AQ67" i="19"/>
  <c r="AQ69" i="19"/>
  <c r="AQ71" i="19"/>
  <c r="AQ73" i="19"/>
  <c r="AQ75" i="19"/>
  <c r="AQ77" i="19"/>
  <c r="AQ79" i="19"/>
  <c r="AQ81" i="19"/>
  <c r="AQ83" i="19"/>
  <c r="AQ85" i="19"/>
  <c r="AQ87" i="19"/>
  <c r="AQ89" i="19"/>
  <c r="AQ91" i="19"/>
  <c r="AQ5" i="19"/>
  <c r="AQ9" i="19"/>
  <c r="AQ11" i="19"/>
  <c r="AQ13" i="19"/>
  <c r="AQ15" i="19"/>
  <c r="AS15" i="19" s="1"/>
  <c r="L14" i="33" s="1"/>
  <c r="AQ19" i="19"/>
  <c r="AQ21" i="19"/>
  <c r="AQ23" i="19"/>
  <c r="AQ25" i="19"/>
  <c r="AQ27" i="19"/>
  <c r="AQ31" i="19"/>
  <c r="AS31" i="19" s="1"/>
  <c r="L30" i="33" s="1"/>
  <c r="AQ33" i="19"/>
  <c r="AQ35" i="19"/>
  <c r="AQ37" i="19"/>
  <c r="AQ41" i="19"/>
  <c r="AQ43" i="19"/>
  <c r="AQ45" i="19"/>
  <c r="AQ49" i="19"/>
  <c r="AQ51" i="19"/>
  <c r="AQ55" i="19"/>
  <c r="AQ4" i="19"/>
  <c r="AS4" i="19" s="1"/>
  <c r="L3" i="33" s="1"/>
  <c r="AQ6" i="19"/>
  <c r="AQ8" i="19"/>
  <c r="AQ10" i="19"/>
  <c r="AQ12" i="19"/>
  <c r="AS12" i="19" s="1"/>
  <c r="L11" i="33" s="1"/>
  <c r="AQ14" i="19"/>
  <c r="AQ16" i="19"/>
  <c r="AQ18" i="19"/>
  <c r="AQ20" i="19"/>
  <c r="AS20" i="19" s="1"/>
  <c r="L19" i="33" s="1"/>
  <c r="AQ22" i="19"/>
  <c r="AQ24" i="19"/>
  <c r="AQ26" i="19"/>
  <c r="AQ28" i="19"/>
  <c r="AS28" i="19" s="1"/>
  <c r="L27" i="33" s="1"/>
  <c r="AQ30" i="19"/>
  <c r="AQ32" i="19"/>
  <c r="AQ34" i="19"/>
  <c r="AQ36" i="19"/>
  <c r="AS36" i="19" s="1"/>
  <c r="L35" i="33" s="1"/>
  <c r="AQ38" i="19"/>
  <c r="AQ40" i="19"/>
  <c r="AQ42" i="19"/>
  <c r="AQ44" i="19"/>
  <c r="AS44" i="19" s="1"/>
  <c r="L43" i="33" s="1"/>
  <c r="AQ46" i="19"/>
  <c r="AQ48" i="19"/>
  <c r="AQ50" i="19"/>
  <c r="AQ52" i="19"/>
  <c r="AS52" i="19" s="1"/>
  <c r="L51" i="33" s="1"/>
  <c r="AQ54" i="19"/>
  <c r="AQ56" i="19"/>
  <c r="AQ58" i="19"/>
  <c r="AQ60" i="19"/>
  <c r="AS60" i="19" s="1"/>
  <c r="L59" i="33" s="1"/>
  <c r="AQ62" i="19"/>
  <c r="AQ64" i="19"/>
  <c r="AQ66" i="19"/>
  <c r="AQ68" i="19"/>
  <c r="AS68" i="19" s="1"/>
  <c r="L67" i="33" s="1"/>
  <c r="AQ70" i="19"/>
  <c r="AQ72" i="19"/>
  <c r="AQ74" i="19"/>
  <c r="AQ76" i="19"/>
  <c r="AS76" i="19" s="1"/>
  <c r="L75" i="33" s="1"/>
  <c r="AQ78" i="19"/>
  <c r="AQ80" i="19"/>
  <c r="AQ82" i="19"/>
  <c r="AQ84" i="19"/>
  <c r="AS84" i="19" s="1"/>
  <c r="L83" i="33" s="1"/>
  <c r="AQ86" i="19"/>
  <c r="AQ88" i="19"/>
  <c r="AQ90" i="19"/>
  <c r="AQ92" i="19"/>
  <c r="AS92" i="19" s="1"/>
  <c r="L91" i="33" s="1"/>
  <c r="AP6" i="19"/>
  <c r="AS6" i="19" s="1"/>
  <c r="L5" i="33" s="1"/>
  <c r="Z5" i="32"/>
  <c r="AP8" i="19"/>
  <c r="Z7" i="32"/>
  <c r="AP10" i="19"/>
  <c r="AS10" i="19" s="1"/>
  <c r="L9" i="33" s="1"/>
  <c r="Z9" i="32"/>
  <c r="AP12" i="19"/>
  <c r="Z11" i="32"/>
  <c r="AP14" i="19"/>
  <c r="AS14" i="19" s="1"/>
  <c r="L13" i="33" s="1"/>
  <c r="Z13" i="32"/>
  <c r="AP16" i="19"/>
  <c r="Z15" i="32"/>
  <c r="AP18" i="19"/>
  <c r="AS18" i="19" s="1"/>
  <c r="L17" i="33" s="1"/>
  <c r="Z17" i="32"/>
  <c r="AP20" i="19"/>
  <c r="Z19" i="32"/>
  <c r="AP22" i="19"/>
  <c r="AS22" i="19" s="1"/>
  <c r="L21" i="33" s="1"/>
  <c r="Z21" i="32"/>
  <c r="AP24" i="19"/>
  <c r="Z23" i="32"/>
  <c r="AP26" i="19"/>
  <c r="AS26" i="19" s="1"/>
  <c r="L25" i="33" s="1"/>
  <c r="Z25" i="32"/>
  <c r="AP28" i="19"/>
  <c r="Z27" i="32"/>
  <c r="AP30" i="19"/>
  <c r="AS30" i="19" s="1"/>
  <c r="L29" i="33" s="1"/>
  <c r="Z29" i="32"/>
  <c r="AP32" i="19"/>
  <c r="Z31" i="32"/>
  <c r="AP34" i="19"/>
  <c r="AS34" i="19" s="1"/>
  <c r="L33" i="33" s="1"/>
  <c r="Z33" i="32"/>
  <c r="AP36" i="19"/>
  <c r="Z35" i="32"/>
  <c r="AP38" i="19"/>
  <c r="AS38" i="19" s="1"/>
  <c r="L37" i="33" s="1"/>
  <c r="Z37" i="32"/>
  <c r="AP40" i="19"/>
  <c r="Z39" i="32"/>
  <c r="AP42" i="19"/>
  <c r="AS42" i="19" s="1"/>
  <c r="L41" i="33" s="1"/>
  <c r="Z41" i="32"/>
  <c r="AP44" i="19"/>
  <c r="Z43" i="32"/>
  <c r="AP46" i="19"/>
  <c r="AS46" i="19" s="1"/>
  <c r="L45" i="33" s="1"/>
  <c r="Z45" i="32"/>
  <c r="AP48" i="19"/>
  <c r="Z47" i="32"/>
  <c r="AP50" i="19"/>
  <c r="AS50" i="19" s="1"/>
  <c r="L49" i="33" s="1"/>
  <c r="Z49" i="32"/>
  <c r="AP52" i="19"/>
  <c r="Z51" i="32"/>
  <c r="AP54" i="19"/>
  <c r="AS54" i="19" s="1"/>
  <c r="L53" i="33" s="1"/>
  <c r="Z53" i="32"/>
  <c r="AP56" i="19"/>
  <c r="Z55" i="32"/>
  <c r="AP58" i="19"/>
  <c r="AS58" i="19" s="1"/>
  <c r="L57" i="33" s="1"/>
  <c r="Z57" i="32"/>
  <c r="AP60" i="19"/>
  <c r="Z59" i="32"/>
  <c r="AP62" i="19"/>
  <c r="AS62" i="19" s="1"/>
  <c r="L61" i="33" s="1"/>
  <c r="Z61" i="32"/>
  <c r="AP64" i="19"/>
  <c r="Z63" i="32"/>
  <c r="AP66" i="19"/>
  <c r="AS66" i="19" s="1"/>
  <c r="L65" i="33" s="1"/>
  <c r="Z65" i="32"/>
  <c r="AP68" i="19"/>
  <c r="Z67" i="32"/>
  <c r="AP70" i="19"/>
  <c r="AS70" i="19" s="1"/>
  <c r="L69" i="33" s="1"/>
  <c r="Z69" i="32"/>
  <c r="AP72" i="19"/>
  <c r="Z71" i="32"/>
  <c r="AP74" i="19"/>
  <c r="AS74" i="19" s="1"/>
  <c r="L73" i="33" s="1"/>
  <c r="Z73" i="32"/>
  <c r="AP76" i="19"/>
  <c r="Z75" i="32"/>
  <c r="AP78" i="19"/>
  <c r="AS78" i="19" s="1"/>
  <c r="L77" i="33" s="1"/>
  <c r="Z77" i="32"/>
  <c r="AP80" i="19"/>
  <c r="Z79" i="32"/>
  <c r="AP82" i="19"/>
  <c r="AS82" i="19" s="1"/>
  <c r="L81" i="33" s="1"/>
  <c r="Z81" i="32"/>
  <c r="AP84" i="19"/>
  <c r="Z83" i="32"/>
  <c r="AP86" i="19"/>
  <c r="AS86" i="19" s="1"/>
  <c r="L85" i="33" s="1"/>
  <c r="Z85" i="32"/>
  <c r="AP88" i="19"/>
  <c r="Z87" i="32"/>
  <c r="AP90" i="19"/>
  <c r="AS90" i="19" s="1"/>
  <c r="L89" i="33" s="1"/>
  <c r="Z89" i="32"/>
  <c r="AP92" i="19"/>
  <c r="Z91" i="32"/>
  <c r="AP94" i="19"/>
  <c r="AS94" i="19" s="1"/>
  <c r="L93" i="33" s="1"/>
  <c r="Z93" i="32"/>
  <c r="AP7" i="19"/>
  <c r="Z6" i="32"/>
  <c r="AP9" i="19"/>
  <c r="AS9" i="19" s="1"/>
  <c r="L8" i="33" s="1"/>
  <c r="Z8" i="32"/>
  <c r="AP11" i="19"/>
  <c r="Z10" i="32"/>
  <c r="AP13" i="19"/>
  <c r="AS13" i="19" s="1"/>
  <c r="L12" i="33" s="1"/>
  <c r="Z12" i="32"/>
  <c r="AP15" i="19"/>
  <c r="Z14" i="32"/>
  <c r="AP17" i="19"/>
  <c r="AS17" i="19" s="1"/>
  <c r="L16" i="33" s="1"/>
  <c r="Z16" i="32"/>
  <c r="AP19" i="19"/>
  <c r="Z18" i="32"/>
  <c r="AP21" i="19"/>
  <c r="Z20" i="32"/>
  <c r="AP23" i="19"/>
  <c r="Z22" i="32"/>
  <c r="AP25" i="19"/>
  <c r="Z24" i="32"/>
  <c r="AP27" i="19"/>
  <c r="Z26" i="32"/>
  <c r="AP29" i="19"/>
  <c r="Z28" i="32"/>
  <c r="AP31" i="19"/>
  <c r="Z30" i="32"/>
  <c r="AP33" i="19"/>
  <c r="AS33" i="19" s="1"/>
  <c r="L32" i="33" s="1"/>
  <c r="Z32" i="32"/>
  <c r="AP35" i="19"/>
  <c r="Z34" i="32"/>
  <c r="AP37" i="19"/>
  <c r="AS37" i="19" s="1"/>
  <c r="L36" i="33" s="1"/>
  <c r="Z36" i="32"/>
  <c r="AP39" i="19"/>
  <c r="Z38" i="32"/>
  <c r="AP41" i="19"/>
  <c r="Z40" i="32"/>
  <c r="AP43" i="19"/>
  <c r="Z42" i="32"/>
  <c r="AP45" i="19"/>
  <c r="Z44" i="32"/>
  <c r="AP47" i="19"/>
  <c r="Z46" i="32"/>
  <c r="AP49" i="19"/>
  <c r="AS49" i="19" s="1"/>
  <c r="L48" i="33" s="1"/>
  <c r="Z48" i="32"/>
  <c r="AP51" i="19"/>
  <c r="Z50" i="32"/>
  <c r="AP53" i="19"/>
  <c r="AS53" i="19" s="1"/>
  <c r="L52" i="33" s="1"/>
  <c r="Z52" i="32"/>
  <c r="AP55" i="19"/>
  <c r="Z54" i="32"/>
  <c r="AP57" i="19"/>
  <c r="Z56" i="32"/>
  <c r="AP59" i="19"/>
  <c r="Z58" i="32"/>
  <c r="AP61" i="19"/>
  <c r="Z60" i="32"/>
  <c r="AP63" i="19"/>
  <c r="Z62" i="32"/>
  <c r="AP65" i="19"/>
  <c r="Z64" i="32"/>
  <c r="AP67" i="19"/>
  <c r="Z66" i="32"/>
  <c r="AP69" i="19"/>
  <c r="Z68" i="32"/>
  <c r="AP71" i="19"/>
  <c r="Z70" i="32"/>
  <c r="AP73" i="19"/>
  <c r="Z72" i="32"/>
  <c r="AP75" i="19"/>
  <c r="Z74" i="32"/>
  <c r="AP77" i="19"/>
  <c r="Z76" i="32"/>
  <c r="AP79" i="19"/>
  <c r="Z78" i="32"/>
  <c r="AP81" i="19"/>
  <c r="Z80" i="32"/>
  <c r="AP83" i="19"/>
  <c r="Z82" i="32"/>
  <c r="AP85" i="19"/>
  <c r="Z84" i="32"/>
  <c r="AP87" i="19"/>
  <c r="Z86" i="32"/>
  <c r="AP89" i="19"/>
  <c r="Z88" i="32"/>
  <c r="AP91" i="19"/>
  <c r="Z90" i="32"/>
  <c r="AP93" i="19"/>
  <c r="AS93" i="19" s="1"/>
  <c r="L92" i="33" s="1"/>
  <c r="Z92" i="32"/>
  <c r="AS8" i="19"/>
  <c r="L7" i="33" s="1"/>
  <c r="AS16" i="19"/>
  <c r="L15" i="33" s="1"/>
  <c r="AS5" i="19"/>
  <c r="L4" i="33" s="1"/>
  <c r="AS11" i="19"/>
  <c r="L10" i="33" s="1"/>
  <c r="AS19" i="19"/>
  <c r="L18" i="33" s="1"/>
  <c r="AS23" i="19"/>
  <c r="L22" i="33" s="1"/>
  <c r="AS27" i="19"/>
  <c r="L26" i="33" s="1"/>
  <c r="AS35" i="19"/>
  <c r="L34" i="33" s="1"/>
  <c r="AS39" i="19"/>
  <c r="L38" i="33" s="1"/>
  <c r="AS43" i="19"/>
  <c r="L42" i="33" s="1"/>
  <c r="AS51" i="19"/>
  <c r="L50" i="33" s="1"/>
  <c r="AS55" i="19"/>
  <c r="L54" i="33" s="1"/>
  <c r="AS59" i="19"/>
  <c r="L58" i="33" s="1"/>
  <c r="AS63" i="19"/>
  <c r="L62" i="33" s="1"/>
  <c r="AS67" i="19"/>
  <c r="L66" i="33" s="1"/>
  <c r="AS71" i="19"/>
  <c r="L70" i="33" s="1"/>
  <c r="AS75" i="19"/>
  <c r="L74" i="33" s="1"/>
  <c r="AS79" i="19"/>
  <c r="L78" i="33" s="1"/>
  <c r="AS83" i="19"/>
  <c r="L82" i="33" s="1"/>
  <c r="AS87" i="19"/>
  <c r="L86" i="33" s="1"/>
  <c r="AS91" i="19"/>
  <c r="L90" i="33" s="1"/>
  <c r="AS95" i="19"/>
  <c r="L94" i="33" s="1"/>
  <c r="AS24" i="19"/>
  <c r="L23" i="33" s="1"/>
  <c r="AS32" i="19"/>
  <c r="L31" i="33" s="1"/>
  <c r="AS40" i="19"/>
  <c r="L39" i="33" s="1"/>
  <c r="AS48" i="19"/>
  <c r="L47" i="33" s="1"/>
  <c r="AS56" i="19"/>
  <c r="L55" i="33" s="1"/>
  <c r="AS64" i="19"/>
  <c r="L63" i="33" s="1"/>
  <c r="AS72" i="19"/>
  <c r="L71" i="33" s="1"/>
  <c r="AS80" i="19"/>
  <c r="L79" i="33" s="1"/>
  <c r="AS88" i="19"/>
  <c r="L87" i="33" s="1"/>
  <c r="F97" i="24"/>
  <c r="F96" i="24"/>
  <c r="F95" i="24"/>
  <c r="F94" i="24"/>
  <c r="F93" i="24"/>
  <c r="F92" i="24"/>
  <c r="F91" i="24"/>
  <c r="F90" i="24"/>
  <c r="F89" i="24"/>
  <c r="F88" i="24"/>
  <c r="F87" i="24"/>
  <c r="F86" i="24"/>
  <c r="F85" i="24"/>
  <c r="F84" i="24"/>
  <c r="F83" i="24"/>
  <c r="F82" i="24"/>
  <c r="F81" i="24"/>
  <c r="F80" i="24"/>
  <c r="F79" i="24"/>
  <c r="F78" i="24"/>
  <c r="F77" i="24"/>
  <c r="F76" i="24"/>
  <c r="F75" i="24"/>
  <c r="F74" i="24"/>
  <c r="F73" i="24"/>
  <c r="F72" i="24"/>
  <c r="F71" i="24"/>
  <c r="F70" i="24"/>
  <c r="F69" i="24"/>
  <c r="F68" i="24"/>
  <c r="F67" i="24"/>
  <c r="F66" i="24"/>
  <c r="F65" i="24"/>
  <c r="F64" i="24"/>
  <c r="F63" i="24"/>
  <c r="F62" i="24"/>
  <c r="F61" i="24"/>
  <c r="F60" i="24"/>
  <c r="F59" i="24"/>
  <c r="F58" i="24"/>
  <c r="F57" i="24"/>
  <c r="F56" i="24"/>
  <c r="F55" i="24"/>
  <c r="F54" i="24"/>
  <c r="F53" i="24"/>
  <c r="F52" i="24"/>
  <c r="F51" i="24"/>
  <c r="F50" i="24"/>
  <c r="F49" i="24"/>
  <c r="F48" i="24"/>
  <c r="F47" i="24"/>
  <c r="F46" i="24"/>
  <c r="F45" i="24"/>
  <c r="F44" i="24"/>
  <c r="F43" i="24"/>
  <c r="F42" i="24"/>
  <c r="F41" i="24"/>
  <c r="F40" i="24"/>
  <c r="F39" i="24"/>
  <c r="F38" i="24"/>
  <c r="F37" i="24"/>
  <c r="F36" i="24"/>
  <c r="F35" i="24"/>
  <c r="F34" i="24"/>
  <c r="F33" i="24"/>
  <c r="F32" i="24"/>
  <c r="F31" i="24"/>
  <c r="F30" i="24"/>
  <c r="F29" i="24"/>
  <c r="F28" i="24"/>
  <c r="F27" i="24"/>
  <c r="F26" i="24"/>
  <c r="F25" i="24"/>
  <c r="F24" i="24"/>
  <c r="F23" i="24"/>
  <c r="F22" i="24"/>
  <c r="F21" i="24"/>
  <c r="F20" i="24"/>
  <c r="F19" i="24"/>
  <c r="F18" i="24"/>
  <c r="F17" i="24"/>
  <c r="F16" i="24"/>
  <c r="F15" i="24"/>
  <c r="F14" i="24"/>
  <c r="F13" i="24"/>
  <c r="F12" i="24"/>
  <c r="F11" i="24"/>
  <c r="F10" i="24"/>
  <c r="F9" i="24"/>
  <c r="F8" i="24"/>
  <c r="F7" i="24"/>
  <c r="F6" i="24"/>
  <c r="F5" i="24"/>
  <c r="E145" i="31"/>
  <c r="F145" i="31" s="1"/>
  <c r="G145" i="31" s="1"/>
  <c r="AG98" i="7" s="1"/>
  <c r="E144" i="31"/>
  <c r="F144" i="31" s="1"/>
  <c r="G144" i="31" s="1"/>
  <c r="AG97" i="7" s="1"/>
  <c r="E143" i="31"/>
  <c r="F143" i="31" s="1"/>
  <c r="G143" i="31" s="1"/>
  <c r="AG96" i="7" s="1"/>
  <c r="E142" i="31"/>
  <c r="F142" i="31" s="1"/>
  <c r="G142" i="31" s="1"/>
  <c r="AG95" i="7" s="1"/>
  <c r="E141" i="31"/>
  <c r="F141" i="31" s="1"/>
  <c r="G141" i="31" s="1"/>
  <c r="AG94" i="7" s="1"/>
  <c r="E140" i="31"/>
  <c r="F140" i="31" s="1"/>
  <c r="G140" i="31" s="1"/>
  <c r="AG93" i="7" s="1"/>
  <c r="E139" i="31"/>
  <c r="F139" i="31" s="1"/>
  <c r="G139" i="31" s="1"/>
  <c r="AG92" i="7" s="1"/>
  <c r="E138" i="31"/>
  <c r="F138" i="31" s="1"/>
  <c r="G138" i="31" s="1"/>
  <c r="AG91" i="7" s="1"/>
  <c r="E137" i="31"/>
  <c r="F137" i="31" s="1"/>
  <c r="G137" i="31" s="1"/>
  <c r="AG90" i="7" s="1"/>
  <c r="E136" i="31"/>
  <c r="F136" i="31" s="1"/>
  <c r="G136" i="31" s="1"/>
  <c r="AG89" i="7" s="1"/>
  <c r="E135" i="31"/>
  <c r="F135" i="31" s="1"/>
  <c r="G135" i="31" s="1"/>
  <c r="AG88" i="7" s="1"/>
  <c r="E134" i="31"/>
  <c r="F134" i="31" s="1"/>
  <c r="G134" i="31" s="1"/>
  <c r="AG87" i="7" s="1"/>
  <c r="E133" i="31"/>
  <c r="F133" i="31" s="1"/>
  <c r="G133" i="31" s="1"/>
  <c r="AG86" i="7" s="1"/>
  <c r="E132" i="31"/>
  <c r="F132" i="31" s="1"/>
  <c r="G132" i="31" s="1"/>
  <c r="E131" i="31"/>
  <c r="F131" i="31" s="1"/>
  <c r="G131" i="31" s="1"/>
  <c r="AG84" i="7" s="1"/>
  <c r="E130" i="31"/>
  <c r="F130" i="31" s="1"/>
  <c r="G130" i="31" s="1"/>
  <c r="AG83" i="7" s="1"/>
  <c r="E129" i="31"/>
  <c r="F129" i="31" s="1"/>
  <c r="G129" i="31" s="1"/>
  <c r="AG82" i="7" s="1"/>
  <c r="E128" i="31"/>
  <c r="F128" i="31" s="1"/>
  <c r="G128" i="31" s="1"/>
  <c r="AG81" i="7" s="1"/>
  <c r="E127" i="31"/>
  <c r="F127" i="31" s="1"/>
  <c r="G127" i="31" s="1"/>
  <c r="AG80" i="7" s="1"/>
  <c r="E126" i="31"/>
  <c r="F126" i="31" s="1"/>
  <c r="G126" i="31" s="1"/>
  <c r="AG79" i="7" s="1"/>
  <c r="F125" i="31"/>
  <c r="G125" i="31" s="1"/>
  <c r="AG78" i="7" s="1"/>
  <c r="E125" i="31"/>
  <c r="AG77" i="7"/>
  <c r="E124" i="31"/>
  <c r="F124" i="31" s="1"/>
  <c r="G124" i="31" s="1"/>
  <c r="AG76" i="7"/>
  <c r="E123" i="31"/>
  <c r="F123" i="31" s="1"/>
  <c r="G123" i="31" s="1"/>
  <c r="AG75" i="7"/>
  <c r="E122" i="31"/>
  <c r="F122" i="31" s="1"/>
  <c r="G122" i="31" s="1"/>
  <c r="AG74" i="7"/>
  <c r="E121" i="31"/>
  <c r="F121" i="31" s="1"/>
  <c r="G121" i="31" s="1"/>
  <c r="AG73" i="7"/>
  <c r="E120" i="31"/>
  <c r="F120" i="31" s="1"/>
  <c r="G120" i="31" s="1"/>
  <c r="AG72" i="7"/>
  <c r="E119" i="31"/>
  <c r="F119" i="31" s="1"/>
  <c r="G119" i="31" s="1"/>
  <c r="AG71" i="7"/>
  <c r="E118" i="31"/>
  <c r="F118" i="31" s="1"/>
  <c r="G118" i="31" s="1"/>
  <c r="E117" i="31"/>
  <c r="F117" i="31" s="1"/>
  <c r="G117" i="31" s="1"/>
  <c r="AG70" i="7" s="1"/>
  <c r="E116" i="31"/>
  <c r="F116" i="31" s="1"/>
  <c r="G116" i="31" s="1"/>
  <c r="AG69" i="7" s="1"/>
  <c r="E115" i="31"/>
  <c r="F115" i="31" s="1"/>
  <c r="G115" i="31" s="1"/>
  <c r="AG68" i="7" s="1"/>
  <c r="E114" i="31"/>
  <c r="F114" i="31" s="1"/>
  <c r="G114" i="31" s="1"/>
  <c r="AG67" i="7" s="1"/>
  <c r="E113" i="31"/>
  <c r="F113" i="31" s="1"/>
  <c r="G113" i="31" s="1"/>
  <c r="AG66" i="7" s="1"/>
  <c r="E112" i="31"/>
  <c r="F112" i="31" s="1"/>
  <c r="G112" i="31" s="1"/>
  <c r="AG65" i="7" s="1"/>
  <c r="E111" i="31"/>
  <c r="F111" i="31" s="1"/>
  <c r="G111" i="31" s="1"/>
  <c r="AG64" i="7" s="1"/>
  <c r="E110" i="31"/>
  <c r="F110" i="31" s="1"/>
  <c r="G110" i="31" s="1"/>
  <c r="AG63" i="7" s="1"/>
  <c r="F109" i="31"/>
  <c r="G109" i="31" s="1"/>
  <c r="AG62" i="7" s="1"/>
  <c r="E109" i="31"/>
  <c r="AG61" i="7"/>
  <c r="E108" i="31"/>
  <c r="F108" i="31" s="1"/>
  <c r="G108" i="31" s="1"/>
  <c r="AG60" i="7"/>
  <c r="E107" i="31"/>
  <c r="F107" i="31" s="1"/>
  <c r="G107" i="31" s="1"/>
  <c r="AG59" i="7"/>
  <c r="E106" i="31"/>
  <c r="F106" i="31" s="1"/>
  <c r="G106" i="31" s="1"/>
  <c r="AG58" i="7"/>
  <c r="E105" i="31"/>
  <c r="F105" i="31" s="1"/>
  <c r="G105" i="31" s="1"/>
  <c r="AG57" i="7"/>
  <c r="E104" i="31"/>
  <c r="F104" i="31" s="1"/>
  <c r="G104" i="31" s="1"/>
  <c r="AG56" i="7"/>
  <c r="E103" i="31"/>
  <c r="F103" i="31" s="1"/>
  <c r="G103" i="31" s="1"/>
  <c r="AG55" i="7"/>
  <c r="E102" i="31"/>
  <c r="F102" i="31" s="1"/>
  <c r="G102" i="31" s="1"/>
  <c r="E101" i="31"/>
  <c r="F101" i="31" s="1"/>
  <c r="G101" i="31" s="1"/>
  <c r="AG54" i="7" s="1"/>
  <c r="E100" i="31"/>
  <c r="F100" i="31" s="1"/>
  <c r="G100" i="31" s="1"/>
  <c r="AG53" i="7" s="1"/>
  <c r="E99" i="31"/>
  <c r="F99" i="31" s="1"/>
  <c r="G99" i="31" s="1"/>
  <c r="AG52" i="7" s="1"/>
  <c r="E98" i="31"/>
  <c r="F98" i="31" s="1"/>
  <c r="G98" i="31" s="1"/>
  <c r="AG51" i="7" s="1"/>
  <c r="E97" i="31"/>
  <c r="F97" i="31" s="1"/>
  <c r="G97" i="31" s="1"/>
  <c r="AG50" i="7" s="1"/>
  <c r="E96" i="31"/>
  <c r="F96" i="31" s="1"/>
  <c r="G96" i="31" s="1"/>
  <c r="AG49" i="7" s="1"/>
  <c r="E95" i="31"/>
  <c r="F95" i="31" s="1"/>
  <c r="G95" i="31" s="1"/>
  <c r="AG48" i="7" s="1"/>
  <c r="E94" i="31"/>
  <c r="F94" i="31" s="1"/>
  <c r="G94" i="31" s="1"/>
  <c r="AG47" i="7" s="1"/>
  <c r="F93" i="31"/>
  <c r="G93" i="31" s="1"/>
  <c r="AG46" i="7" s="1"/>
  <c r="E93" i="31"/>
  <c r="AG45" i="7"/>
  <c r="E92" i="31"/>
  <c r="F92" i="31" s="1"/>
  <c r="G92" i="31" s="1"/>
  <c r="AG44" i="7"/>
  <c r="E91" i="31"/>
  <c r="F91" i="31" s="1"/>
  <c r="G91" i="31" s="1"/>
  <c r="AG43" i="7"/>
  <c r="E90" i="31"/>
  <c r="F90" i="31" s="1"/>
  <c r="G90" i="31" s="1"/>
  <c r="AG42" i="7"/>
  <c r="E89" i="31"/>
  <c r="F89" i="31" s="1"/>
  <c r="G89" i="31" s="1"/>
  <c r="AG41" i="7"/>
  <c r="E88" i="31"/>
  <c r="F88" i="31" s="1"/>
  <c r="G88" i="31" s="1"/>
  <c r="AG40" i="7"/>
  <c r="E87" i="31"/>
  <c r="F87" i="31" s="1"/>
  <c r="G87" i="31" s="1"/>
  <c r="AG39" i="7"/>
  <c r="E86" i="31"/>
  <c r="F86" i="31" s="1"/>
  <c r="G86" i="31" s="1"/>
  <c r="E85" i="31"/>
  <c r="F85" i="31" s="1"/>
  <c r="G85" i="31" s="1"/>
  <c r="AG38" i="7" s="1"/>
  <c r="E84" i="31"/>
  <c r="F84" i="31" s="1"/>
  <c r="G84" i="31" s="1"/>
  <c r="AG37" i="7" s="1"/>
  <c r="E83" i="31"/>
  <c r="F83" i="31" s="1"/>
  <c r="G83" i="31" s="1"/>
  <c r="AG36" i="7" s="1"/>
  <c r="E82" i="31"/>
  <c r="F82" i="31" s="1"/>
  <c r="G82" i="31" s="1"/>
  <c r="AG35" i="7" s="1"/>
  <c r="E81" i="31"/>
  <c r="F81" i="31" s="1"/>
  <c r="G81" i="31" s="1"/>
  <c r="AG34" i="7" s="1"/>
  <c r="E80" i="31"/>
  <c r="F80" i="31" s="1"/>
  <c r="G80" i="31" s="1"/>
  <c r="AG33" i="7" s="1"/>
  <c r="E79" i="31"/>
  <c r="F79" i="31" s="1"/>
  <c r="G79" i="31" s="1"/>
  <c r="AG32" i="7" s="1"/>
  <c r="E78" i="31"/>
  <c r="F78" i="31" s="1"/>
  <c r="G78" i="31" s="1"/>
  <c r="AG31" i="7" s="1"/>
  <c r="F77" i="31"/>
  <c r="G77" i="31" s="1"/>
  <c r="AG30" i="7" s="1"/>
  <c r="E77" i="31"/>
  <c r="AG29" i="7"/>
  <c r="E76" i="31"/>
  <c r="F76" i="31" s="1"/>
  <c r="G76" i="31" s="1"/>
  <c r="AG28" i="7"/>
  <c r="E75" i="31"/>
  <c r="F75" i="31" s="1"/>
  <c r="G75" i="31" s="1"/>
  <c r="AG27" i="7"/>
  <c r="E74" i="31"/>
  <c r="F74" i="31" s="1"/>
  <c r="G74" i="31" s="1"/>
  <c r="AG26" i="7"/>
  <c r="E73" i="31"/>
  <c r="F73" i="31" s="1"/>
  <c r="G73" i="31" s="1"/>
  <c r="AG25" i="7"/>
  <c r="E72" i="31"/>
  <c r="F72" i="31" s="1"/>
  <c r="G72" i="31" s="1"/>
  <c r="AG24" i="7"/>
  <c r="E71" i="31"/>
  <c r="F71" i="31" s="1"/>
  <c r="G71" i="31" s="1"/>
  <c r="AG23" i="7"/>
  <c r="E70" i="31"/>
  <c r="F70" i="31" s="1"/>
  <c r="G70" i="31" s="1"/>
  <c r="E69" i="31"/>
  <c r="F69" i="31" s="1"/>
  <c r="G69" i="31" s="1"/>
  <c r="AG22" i="7" s="1"/>
  <c r="E68" i="31"/>
  <c r="F68" i="31" s="1"/>
  <c r="G68" i="31" s="1"/>
  <c r="AG21" i="7" s="1"/>
  <c r="E67" i="31"/>
  <c r="F67" i="31" s="1"/>
  <c r="G67" i="31" s="1"/>
  <c r="AG20" i="7" s="1"/>
  <c r="E66" i="31"/>
  <c r="F66" i="31" s="1"/>
  <c r="G66" i="31" s="1"/>
  <c r="AG19" i="7" s="1"/>
  <c r="E65" i="31"/>
  <c r="F65" i="31" s="1"/>
  <c r="G65" i="31" s="1"/>
  <c r="AG18" i="7" s="1"/>
  <c r="E64" i="31"/>
  <c r="F64" i="31" s="1"/>
  <c r="G64" i="31" s="1"/>
  <c r="AG17" i="7" s="1"/>
  <c r="E63" i="31"/>
  <c r="F63" i="31" s="1"/>
  <c r="G63" i="31" s="1"/>
  <c r="AG16" i="7" s="1"/>
  <c r="E62" i="31"/>
  <c r="F62" i="31" s="1"/>
  <c r="G62" i="31" s="1"/>
  <c r="AG15" i="7" s="1"/>
  <c r="F61" i="31"/>
  <c r="G61" i="31" s="1"/>
  <c r="AG14" i="7" s="1"/>
  <c r="E61" i="31"/>
  <c r="AG13" i="7"/>
  <c r="E60" i="31"/>
  <c r="F60" i="31" s="1"/>
  <c r="G60" i="31" s="1"/>
  <c r="AG12" i="7"/>
  <c r="E59" i="31"/>
  <c r="F59" i="31" s="1"/>
  <c r="G59" i="31" s="1"/>
  <c r="AG11" i="7"/>
  <c r="E58" i="31"/>
  <c r="F58" i="31" s="1"/>
  <c r="G58" i="31" s="1"/>
  <c r="AG10" i="7"/>
  <c r="E57" i="31"/>
  <c r="F57" i="31" s="1"/>
  <c r="G57" i="31" s="1"/>
  <c r="AG9" i="7"/>
  <c r="E56" i="31"/>
  <c r="F56" i="31" s="1"/>
  <c r="G56" i="31" s="1"/>
  <c r="AG8" i="7"/>
  <c r="E55" i="31"/>
  <c r="F55" i="31" s="1"/>
  <c r="G55" i="31" s="1"/>
  <c r="AG7" i="7"/>
  <c r="E54" i="31"/>
  <c r="F54" i="31" s="1"/>
  <c r="G54" i="31" s="1"/>
  <c r="E53" i="31"/>
  <c r="F53" i="31" s="1"/>
  <c r="G53" i="31" s="1"/>
  <c r="AG6" i="7" s="1"/>
  <c r="E52" i="31"/>
  <c r="F52" i="31" s="1"/>
  <c r="G52" i="31" s="1"/>
  <c r="AG5" i="7" s="1"/>
  <c r="E51" i="31"/>
  <c r="F51" i="31" s="1"/>
  <c r="G51" i="31" s="1"/>
  <c r="AG4" i="7" s="1"/>
  <c r="E50" i="31"/>
  <c r="F50" i="31" s="1"/>
  <c r="G50" i="31" s="1"/>
  <c r="E49" i="31"/>
  <c r="F49" i="31" s="1"/>
  <c r="G49" i="31" s="1"/>
  <c r="E48" i="31"/>
  <c r="F48" i="31" s="1"/>
  <c r="G48" i="31" s="1"/>
  <c r="E47" i="31"/>
  <c r="F47" i="31" s="1"/>
  <c r="G47" i="31" s="1"/>
  <c r="E46" i="31"/>
  <c r="F46" i="31" s="1"/>
  <c r="G46" i="31" s="1"/>
  <c r="E45" i="31"/>
  <c r="F45" i="31" s="1"/>
  <c r="G45" i="31" s="1"/>
  <c r="E44" i="31"/>
  <c r="F44" i="31" s="1"/>
  <c r="G44" i="31" s="1"/>
  <c r="E43" i="31"/>
  <c r="F43" i="31" s="1"/>
  <c r="G43" i="31" s="1"/>
  <c r="E42" i="31"/>
  <c r="F42" i="31" s="1"/>
  <c r="G42" i="31" s="1"/>
  <c r="E41" i="31"/>
  <c r="F41" i="31" s="1"/>
  <c r="G41" i="31" s="1"/>
  <c r="E40" i="31"/>
  <c r="F40" i="31" s="1"/>
  <c r="G40" i="31" s="1"/>
  <c r="E39" i="31"/>
  <c r="F39" i="31" s="1"/>
  <c r="G39" i="31" s="1"/>
  <c r="E38" i="31"/>
  <c r="F38" i="31" s="1"/>
  <c r="G38" i="31" s="1"/>
  <c r="E37" i="31"/>
  <c r="F37" i="31" s="1"/>
  <c r="G37" i="31" s="1"/>
  <c r="E36" i="31"/>
  <c r="F36" i="31" s="1"/>
  <c r="G36" i="31" s="1"/>
  <c r="E35" i="31"/>
  <c r="F35" i="31" s="1"/>
  <c r="G35" i="31" s="1"/>
  <c r="E34" i="31"/>
  <c r="F34" i="31" s="1"/>
  <c r="G34" i="31" s="1"/>
  <c r="E33" i="31"/>
  <c r="F33" i="31" s="1"/>
  <c r="G33" i="31" s="1"/>
  <c r="E32" i="31"/>
  <c r="F32" i="31" s="1"/>
  <c r="G32" i="31" s="1"/>
  <c r="E31" i="31"/>
  <c r="F31" i="31" s="1"/>
  <c r="G31" i="31" s="1"/>
  <c r="E30" i="31"/>
  <c r="F30" i="31" s="1"/>
  <c r="G30" i="31" s="1"/>
  <c r="E29" i="31"/>
  <c r="F29" i="31" s="1"/>
  <c r="G29" i="31" s="1"/>
  <c r="E28" i="31"/>
  <c r="F28" i="31" s="1"/>
  <c r="G28" i="31" s="1"/>
  <c r="E27" i="31"/>
  <c r="F27" i="31" s="1"/>
  <c r="G27" i="31" s="1"/>
  <c r="E26" i="31"/>
  <c r="F26" i="31" s="1"/>
  <c r="G26" i="31" s="1"/>
  <c r="E25" i="31"/>
  <c r="F25" i="31" s="1"/>
  <c r="G25" i="31" s="1"/>
  <c r="E24" i="31"/>
  <c r="F24" i="31" s="1"/>
  <c r="G24" i="31" s="1"/>
  <c r="E23" i="31"/>
  <c r="F23" i="31" s="1"/>
  <c r="G23" i="31" s="1"/>
  <c r="E22" i="31"/>
  <c r="F22" i="31" s="1"/>
  <c r="G22" i="31" s="1"/>
  <c r="E21" i="31"/>
  <c r="F21" i="31" s="1"/>
  <c r="G21" i="31" s="1"/>
  <c r="E20" i="31"/>
  <c r="F20" i="31" s="1"/>
  <c r="G20" i="31" s="1"/>
  <c r="E19" i="31"/>
  <c r="F19" i="31" s="1"/>
  <c r="G19" i="31" s="1"/>
  <c r="E18" i="31"/>
  <c r="F18" i="31" s="1"/>
  <c r="G18" i="31" s="1"/>
  <c r="E17" i="31"/>
  <c r="F17" i="31" s="1"/>
  <c r="G17" i="31" s="1"/>
  <c r="E16" i="31"/>
  <c r="F16" i="31" s="1"/>
  <c r="G16" i="31" s="1"/>
  <c r="E15" i="31"/>
  <c r="F15" i="31" s="1"/>
  <c r="G15" i="31" s="1"/>
  <c r="E14" i="31"/>
  <c r="F14" i="31" s="1"/>
  <c r="G14" i="31" s="1"/>
  <c r="E13" i="31"/>
  <c r="F13" i="31" s="1"/>
  <c r="G13" i="31" s="1"/>
  <c r="E12" i="31"/>
  <c r="F12" i="31" s="1"/>
  <c r="G12" i="31" s="1"/>
  <c r="E11" i="31"/>
  <c r="F11" i="31" s="1"/>
  <c r="G11" i="31" s="1"/>
  <c r="E10" i="31"/>
  <c r="F10" i="31" s="1"/>
  <c r="G10" i="31" s="1"/>
  <c r="E9" i="31"/>
  <c r="F9" i="31" s="1"/>
  <c r="G9" i="31" s="1"/>
  <c r="E8" i="31"/>
  <c r="F8" i="31" s="1"/>
  <c r="G8" i="31" s="1"/>
  <c r="E7" i="31"/>
  <c r="F7" i="31" s="1"/>
  <c r="G7" i="31" s="1"/>
  <c r="E6" i="31"/>
  <c r="F6" i="31" s="1"/>
  <c r="G6" i="31" s="1"/>
  <c r="E5" i="31"/>
  <c r="F5" i="31" s="1"/>
  <c r="G5" i="31" s="1"/>
  <c r="E4" i="31"/>
  <c r="F4" i="31" s="1"/>
  <c r="G4" i="31" s="1"/>
  <c r="E3" i="31"/>
  <c r="F3" i="31" s="1"/>
  <c r="G3" i="31" s="1"/>
  <c r="A3" i="31"/>
  <c r="A4" i="31" s="1"/>
  <c r="A5" i="31" s="1"/>
  <c r="A6" i="31" s="1"/>
  <c r="A7" i="31" s="1"/>
  <c r="A8" i="31" s="1"/>
  <c r="A9" i="31" s="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47" i="31" s="1"/>
  <c r="A48" i="31" s="1"/>
  <c r="A49" i="31" s="1"/>
  <c r="A50" i="31" s="1"/>
  <c r="A51" i="31" s="1"/>
  <c r="A52" i="31" s="1"/>
  <c r="A53" i="31" s="1"/>
  <c r="A54" i="31" s="1"/>
  <c r="A55" i="31" s="1"/>
  <c r="A56" i="31" s="1"/>
  <c r="A57" i="31" s="1"/>
  <c r="A58" i="31" s="1"/>
  <c r="A59" i="31" s="1"/>
  <c r="A60" i="31" s="1"/>
  <c r="A61" i="31" s="1"/>
  <c r="A62" i="31" s="1"/>
  <c r="A63" i="31" s="1"/>
  <c r="A64" i="31" s="1"/>
  <c r="A65" i="31" s="1"/>
  <c r="A66" i="31" s="1"/>
  <c r="A67" i="31" s="1"/>
  <c r="A68" i="31" s="1"/>
  <c r="A69" i="31" s="1"/>
  <c r="A70" i="31" s="1"/>
  <c r="A71" i="31" s="1"/>
  <c r="A72" i="31" s="1"/>
  <c r="A73" i="31" s="1"/>
  <c r="A74" i="31" s="1"/>
  <c r="A75" i="31" s="1"/>
  <c r="A76" i="31" s="1"/>
  <c r="A77" i="31" s="1"/>
  <c r="A78" i="31" s="1"/>
  <c r="A79" i="31" s="1"/>
  <c r="A80" i="31" s="1"/>
  <c r="A81" i="31" s="1"/>
  <c r="A82" i="31" s="1"/>
  <c r="A83" i="31" s="1"/>
  <c r="A84" i="31" s="1"/>
  <c r="A85" i="31" s="1"/>
  <c r="A86" i="31" s="1"/>
  <c r="A87" i="31" s="1"/>
  <c r="A88" i="31" s="1"/>
  <c r="A89" i="31" s="1"/>
  <c r="A90" i="31" s="1"/>
  <c r="A91" i="31" s="1"/>
  <c r="A92" i="31" s="1"/>
  <c r="A93" i="31" s="1"/>
  <c r="A94" i="31" s="1"/>
  <c r="A95" i="31" s="1"/>
  <c r="A96" i="31" s="1"/>
  <c r="A97" i="31" s="1"/>
  <c r="A98" i="31" s="1"/>
  <c r="A99" i="31" s="1"/>
  <c r="A100" i="31" s="1"/>
  <c r="A101" i="31" s="1"/>
  <c r="A102" i="31" s="1"/>
  <c r="A103" i="31" s="1"/>
  <c r="A104" i="31" s="1"/>
  <c r="A105" i="31" s="1"/>
  <c r="A106" i="31" s="1"/>
  <c r="A107" i="31" s="1"/>
  <c r="A108" i="31" s="1"/>
  <c r="A109" i="31" s="1"/>
  <c r="A110" i="31" s="1"/>
  <c r="A111" i="31" s="1"/>
  <c r="A112" i="31" s="1"/>
  <c r="A113" i="31" s="1"/>
  <c r="A114" i="31" s="1"/>
  <c r="A115" i="31" s="1"/>
  <c r="A116" i="31" s="1"/>
  <c r="A117" i="31" s="1"/>
  <c r="A118" i="31" s="1"/>
  <c r="A119" i="31" s="1"/>
  <c r="A120" i="31" s="1"/>
  <c r="A121" i="31" s="1"/>
  <c r="A122" i="31" s="1"/>
  <c r="A123" i="31" s="1"/>
  <c r="A124" i="31" s="1"/>
  <c r="A125" i="31" s="1"/>
  <c r="A126" i="31" s="1"/>
  <c r="A127" i="31" s="1"/>
  <c r="A128" i="31" s="1"/>
  <c r="A129" i="31" s="1"/>
  <c r="A130" i="31" s="1"/>
  <c r="A131" i="31" s="1"/>
  <c r="A132" i="31" s="1"/>
  <c r="A133" i="31" s="1"/>
  <c r="A134" i="31" s="1"/>
  <c r="A135" i="31" s="1"/>
  <c r="A136" i="31" s="1"/>
  <c r="A137" i="31" s="1"/>
  <c r="A138" i="31" s="1"/>
  <c r="A139" i="31" s="1"/>
  <c r="A140" i="31" s="1"/>
  <c r="A141" i="31" s="1"/>
  <c r="A142" i="31" s="1"/>
  <c r="A143" i="31" s="1"/>
  <c r="A144" i="31" s="1"/>
  <c r="A145" i="31" s="1"/>
  <c r="E2" i="31"/>
  <c r="F2" i="31" s="1"/>
  <c r="G2" i="31" s="1"/>
  <c r="AG85" i="7" l="1"/>
  <c r="AS89" i="19"/>
  <c r="L88" i="33" s="1"/>
  <c r="AS85" i="19"/>
  <c r="L84" i="33" s="1"/>
  <c r="AS81" i="19"/>
  <c r="L80" i="33" s="1"/>
  <c r="AS77" i="19"/>
  <c r="L76" i="33" s="1"/>
  <c r="AS73" i="19"/>
  <c r="L72" i="33" s="1"/>
  <c r="AS69" i="19"/>
  <c r="L68" i="33" s="1"/>
  <c r="AS65" i="19"/>
  <c r="L64" i="33" s="1"/>
  <c r="AS61" i="19"/>
  <c r="L60" i="33" s="1"/>
  <c r="AS57" i="19"/>
  <c r="L56" i="33" s="1"/>
  <c r="AS45" i="19"/>
  <c r="L44" i="33" s="1"/>
  <c r="AS41" i="19"/>
  <c r="L40" i="33" s="1"/>
  <c r="AS29" i="19"/>
  <c r="L28" i="33" s="1"/>
  <c r="AS25" i="19"/>
  <c r="L24" i="33" s="1"/>
  <c r="AS21" i="19"/>
  <c r="L20" i="33" s="1"/>
  <c r="C24" i="23"/>
  <c r="C23" i="23"/>
  <c r="C22" i="23"/>
  <c r="C21" i="23"/>
  <c r="C20" i="23"/>
  <c r="C26" i="23"/>
  <c r="E49" i="19"/>
  <c r="E48" i="19"/>
  <c r="E47" i="19"/>
  <c r="E46" i="19"/>
  <c r="E45" i="19"/>
  <c r="E44" i="19"/>
  <c r="E43" i="19"/>
  <c r="E42" i="19"/>
  <c r="E41" i="19"/>
  <c r="E40" i="19"/>
  <c r="E39" i="19"/>
  <c r="E38" i="19"/>
  <c r="E37" i="19"/>
  <c r="E36" i="19"/>
  <c r="E35" i="19"/>
  <c r="E34" i="19"/>
  <c r="E33" i="19"/>
  <c r="E32" i="19"/>
  <c r="E31" i="19"/>
  <c r="E30" i="19"/>
  <c r="E29" i="19"/>
  <c r="E28" i="19"/>
  <c r="E27" i="19"/>
  <c r="E26" i="19"/>
  <c r="E25" i="19"/>
  <c r="E24" i="19"/>
  <c r="E23" i="19"/>
  <c r="E22" i="19"/>
  <c r="E21" i="19"/>
  <c r="E20" i="19"/>
  <c r="E19" i="19"/>
  <c r="E18" i="19"/>
  <c r="E17" i="19"/>
  <c r="E16" i="19"/>
  <c r="E15" i="19"/>
  <c r="E14" i="19"/>
  <c r="E13" i="19"/>
  <c r="E12" i="19"/>
  <c r="E11" i="19"/>
  <c r="E10" i="19"/>
  <c r="E9" i="19"/>
  <c r="E8" i="19"/>
  <c r="E7" i="19"/>
  <c r="E6" i="19"/>
  <c r="E5" i="19"/>
  <c r="E4" i="19"/>
  <c r="E50" i="19"/>
  <c r="D98" i="19"/>
  <c r="E98" i="19" s="1"/>
  <c r="D97" i="19"/>
  <c r="E97" i="19" s="1"/>
  <c r="C48" i="11"/>
  <c r="D96" i="19" s="1"/>
  <c r="C47" i="11"/>
  <c r="D95" i="19" s="1"/>
  <c r="C46" i="11"/>
  <c r="D94" i="19" s="1"/>
  <c r="C45" i="11"/>
  <c r="D93" i="19" s="1"/>
  <c r="C44" i="11"/>
  <c r="D92" i="19" s="1"/>
  <c r="C43" i="11"/>
  <c r="D91" i="19" s="1"/>
  <c r="C42" i="11"/>
  <c r="D90" i="19" s="1"/>
  <c r="C41" i="11"/>
  <c r="D89" i="19" s="1"/>
  <c r="C40" i="11"/>
  <c r="D88" i="19" s="1"/>
  <c r="C39" i="11"/>
  <c r="D87" i="19" s="1"/>
  <c r="C38" i="11"/>
  <c r="D86" i="19" s="1"/>
  <c r="C37" i="11"/>
  <c r="D85" i="19" s="1"/>
  <c r="C36" i="11"/>
  <c r="D84" i="19" s="1"/>
  <c r="C35" i="11"/>
  <c r="D83" i="19" s="1"/>
  <c r="C34" i="11"/>
  <c r="D82" i="19" s="1"/>
  <c r="C33" i="11"/>
  <c r="D81" i="19" s="1"/>
  <c r="C32" i="11"/>
  <c r="D80" i="19" s="1"/>
  <c r="C31" i="11"/>
  <c r="D79" i="19" s="1"/>
  <c r="C30" i="11"/>
  <c r="D78" i="19" s="1"/>
  <c r="C29" i="11"/>
  <c r="D77" i="19" s="1"/>
  <c r="C28" i="11"/>
  <c r="D76" i="19" s="1"/>
  <c r="C27" i="11"/>
  <c r="D75" i="19" s="1"/>
  <c r="C26" i="11"/>
  <c r="D74" i="19" s="1"/>
  <c r="C25" i="11"/>
  <c r="D73" i="19" s="1"/>
  <c r="C24" i="11"/>
  <c r="D72" i="19" s="1"/>
  <c r="C23" i="11"/>
  <c r="D71" i="19" s="1"/>
  <c r="C22" i="11"/>
  <c r="D70" i="19" s="1"/>
  <c r="C21" i="11"/>
  <c r="D69" i="19" s="1"/>
  <c r="C20" i="11"/>
  <c r="D68" i="19" s="1"/>
  <c r="C19" i="11"/>
  <c r="D67" i="19" s="1"/>
  <c r="C18" i="11"/>
  <c r="D66" i="19" s="1"/>
  <c r="C17" i="11"/>
  <c r="D65" i="19" s="1"/>
  <c r="C16" i="11"/>
  <c r="D64" i="19" s="1"/>
  <c r="C15" i="11"/>
  <c r="D63" i="19" s="1"/>
  <c r="C14" i="11"/>
  <c r="D62" i="19" s="1"/>
  <c r="C13" i="11"/>
  <c r="D61" i="19" s="1"/>
  <c r="C12" i="11"/>
  <c r="D60" i="19" s="1"/>
  <c r="C11" i="11"/>
  <c r="D59" i="19" s="1"/>
  <c r="C10" i="11"/>
  <c r="D58" i="19" s="1"/>
  <c r="C9" i="11"/>
  <c r="D57" i="19" s="1"/>
  <c r="C8" i="11"/>
  <c r="D56" i="19" s="1"/>
  <c r="C7" i="11"/>
  <c r="D55" i="19" s="1"/>
  <c r="C6" i="11"/>
  <c r="D54" i="19" s="1"/>
  <c r="C5" i="11"/>
  <c r="D53" i="19" s="1"/>
  <c r="C4" i="11"/>
  <c r="D52" i="19" s="1"/>
  <c r="C3" i="11"/>
  <c r="D51" i="19" s="1"/>
  <c r="E52" i="19" l="1"/>
  <c r="E54" i="19"/>
  <c r="E58" i="19"/>
  <c r="E60" i="19"/>
  <c r="E62" i="19"/>
  <c r="E66" i="19"/>
  <c r="E70" i="19"/>
  <c r="E51" i="19"/>
  <c r="E53" i="19"/>
  <c r="E55" i="19"/>
  <c r="E57" i="19"/>
  <c r="E59" i="19"/>
  <c r="E61" i="19"/>
  <c r="E63" i="19"/>
  <c r="E65" i="19"/>
  <c r="E67" i="19"/>
  <c r="E69" i="19"/>
  <c r="E71" i="19"/>
  <c r="E73" i="19"/>
  <c r="E75" i="19"/>
  <c r="E77" i="19"/>
  <c r="E79" i="19"/>
  <c r="E81" i="19"/>
  <c r="E83" i="19"/>
  <c r="E85" i="19"/>
  <c r="E87" i="19"/>
  <c r="E89" i="19"/>
  <c r="E91" i="19"/>
  <c r="E93" i="19"/>
  <c r="E95" i="19"/>
  <c r="E56" i="19"/>
  <c r="E64" i="19"/>
  <c r="E68" i="19"/>
  <c r="E72" i="19"/>
  <c r="E74" i="19"/>
  <c r="E76" i="19"/>
  <c r="E78" i="19"/>
  <c r="E80" i="19"/>
  <c r="E82" i="19"/>
  <c r="E84" i="19"/>
  <c r="E86" i="19"/>
  <c r="E88" i="19"/>
  <c r="E90" i="19"/>
  <c r="E92" i="19"/>
  <c r="E94" i="19"/>
  <c r="E96" i="19"/>
  <c r="H6" i="1"/>
  <c r="H5" i="1"/>
  <c r="S97" i="1"/>
  <c r="S96" i="1"/>
  <c r="S95" i="1"/>
  <c r="S94" i="1"/>
  <c r="S93" i="1"/>
  <c r="S92" i="1"/>
  <c r="S91" i="1"/>
  <c r="S90" i="1"/>
  <c r="S89" i="1"/>
  <c r="S88" i="1"/>
  <c r="S87" i="1"/>
  <c r="S86" i="1"/>
  <c r="S85" i="1"/>
  <c r="S84" i="1"/>
  <c r="S83" i="1"/>
  <c r="S82" i="1"/>
  <c r="S81" i="1"/>
  <c r="S80" i="1"/>
  <c r="S79" i="1"/>
  <c r="S78" i="1"/>
  <c r="S77" i="1"/>
  <c r="S75" i="1"/>
  <c r="S74" i="1"/>
  <c r="S73" i="1"/>
  <c r="S71" i="1"/>
  <c r="S70" i="1"/>
  <c r="S69" i="1"/>
  <c r="S68" i="1"/>
  <c r="S67" i="1"/>
  <c r="S66" i="1"/>
  <c r="S65" i="1"/>
  <c r="S64" i="1"/>
  <c r="S63" i="1"/>
  <c r="S62" i="1"/>
  <c r="S61" i="1"/>
  <c r="S60" i="1"/>
  <c r="S59" i="1"/>
  <c r="S58" i="1"/>
  <c r="S57" i="1"/>
  <c r="S56" i="1"/>
  <c r="S55" i="1"/>
  <c r="S54" i="1"/>
  <c r="S53" i="1"/>
  <c r="S52" i="1"/>
  <c r="S51" i="1"/>
  <c r="B50" i="4"/>
  <c r="N48" i="32" s="1"/>
  <c r="B49" i="4"/>
  <c r="N47" i="32" s="1"/>
  <c r="B48" i="4"/>
  <c r="N46" i="32" s="1"/>
  <c r="B47" i="4"/>
  <c r="N45" i="32" s="1"/>
  <c r="B46" i="4"/>
  <c r="N44" i="32" s="1"/>
  <c r="B45" i="4"/>
  <c r="N43" i="32" s="1"/>
  <c r="B44" i="4"/>
  <c r="N42" i="32" s="1"/>
  <c r="B43" i="4"/>
  <c r="N41" i="32" s="1"/>
  <c r="B42" i="4"/>
  <c r="N40" i="32" s="1"/>
  <c r="B41" i="4"/>
  <c r="N39" i="32" s="1"/>
  <c r="B40" i="4"/>
  <c r="N38" i="32" s="1"/>
  <c r="B39" i="4"/>
  <c r="N37" i="32" s="1"/>
  <c r="B38" i="4"/>
  <c r="N36" i="32" s="1"/>
  <c r="B37" i="4"/>
  <c r="N35" i="32" s="1"/>
  <c r="B36" i="4"/>
  <c r="N34" i="32" s="1"/>
  <c r="B35" i="4"/>
  <c r="N33" i="32" s="1"/>
  <c r="B34" i="4"/>
  <c r="N32" i="32" s="1"/>
  <c r="B33" i="4"/>
  <c r="N31" i="32" s="1"/>
  <c r="B32" i="4"/>
  <c r="N30" i="32" s="1"/>
  <c r="B31" i="4"/>
  <c r="N29" i="32" s="1"/>
  <c r="B30" i="4"/>
  <c r="N28" i="32" s="1"/>
  <c r="B29" i="4"/>
  <c r="N27" i="32" s="1"/>
  <c r="B28" i="4"/>
  <c r="N26" i="32" s="1"/>
  <c r="B27" i="4"/>
  <c r="N25" i="32" s="1"/>
  <c r="B26" i="4"/>
  <c r="B25" i="4"/>
  <c r="N23" i="32" s="1"/>
  <c r="B24" i="4"/>
  <c r="N22" i="32" s="1"/>
  <c r="B23" i="4"/>
  <c r="N21" i="32" s="1"/>
  <c r="B22" i="4"/>
  <c r="N20" i="32" s="1"/>
  <c r="B21" i="4"/>
  <c r="N19" i="32" s="1"/>
  <c r="B20" i="4"/>
  <c r="N18" i="32" s="1"/>
  <c r="B19" i="4"/>
  <c r="N17" i="32" s="1"/>
  <c r="B18" i="4"/>
  <c r="N16" i="32" s="1"/>
  <c r="B17" i="4"/>
  <c r="N15" i="32" s="1"/>
  <c r="B16" i="4"/>
  <c r="N14" i="32" s="1"/>
  <c r="B15" i="4"/>
  <c r="N13" i="32" s="1"/>
  <c r="B14" i="4"/>
  <c r="N12" i="32" s="1"/>
  <c r="B13" i="4"/>
  <c r="N11" i="32" s="1"/>
  <c r="B12" i="4"/>
  <c r="N10" i="32" s="1"/>
  <c r="B11" i="4"/>
  <c r="N9" i="32" s="1"/>
  <c r="B10" i="4"/>
  <c r="N8" i="32" s="1"/>
  <c r="B9" i="4"/>
  <c r="N7" i="32" s="1"/>
  <c r="B8" i="4"/>
  <c r="N6" i="32" s="1"/>
  <c r="B7" i="4"/>
  <c r="B6" i="4"/>
  <c r="N4" i="32" s="1"/>
  <c r="B5" i="4"/>
  <c r="B51" i="4"/>
  <c r="N49" i="32" s="1"/>
  <c r="J52" i="4"/>
  <c r="A51" i="4"/>
  <c r="A50" i="4" s="1"/>
  <c r="A49" i="4" s="1"/>
  <c r="A48" i="4" s="1"/>
  <c r="A47" i="4" s="1"/>
  <c r="A46" i="4" s="1"/>
  <c r="A45" i="4" s="1"/>
  <c r="A44" i="4" s="1"/>
  <c r="A43" i="4" s="1"/>
  <c r="A42" i="4" s="1"/>
  <c r="A41" i="4" s="1"/>
  <c r="A40" i="4" s="1"/>
  <c r="A39" i="4" s="1"/>
  <c r="A38" i="4" s="1"/>
  <c r="A37" i="4" s="1"/>
  <c r="A36" i="4" s="1"/>
  <c r="A35" i="4" s="1"/>
  <c r="A34" i="4" s="1"/>
  <c r="A33" i="4" s="1"/>
  <c r="A32" i="4" s="1"/>
  <c r="A31" i="4" s="1"/>
  <c r="A30" i="4" s="1"/>
  <c r="A29" i="4" s="1"/>
  <c r="A28" i="4" s="1"/>
  <c r="A27" i="4" s="1"/>
  <c r="A26" i="4" s="1"/>
  <c r="A25" i="4" s="1"/>
  <c r="A24" i="4" s="1"/>
  <c r="A23" i="4" s="1"/>
  <c r="A22" i="4" s="1"/>
  <c r="A21" i="4" s="1"/>
  <c r="A20" i="4" s="1"/>
  <c r="A19" i="4" s="1"/>
  <c r="A18" i="4" s="1"/>
  <c r="A17" i="4" s="1"/>
  <c r="A16" i="4" s="1"/>
  <c r="A15" i="4" s="1"/>
  <c r="A14" i="4" s="1"/>
  <c r="A13" i="4" s="1"/>
  <c r="A12" i="4" s="1"/>
  <c r="A11" i="4" s="1"/>
  <c r="A10" i="4" s="1"/>
  <c r="A9" i="4" s="1"/>
  <c r="A8" i="4" s="1"/>
  <c r="A7" i="4" s="1"/>
  <c r="A6" i="4" s="1"/>
  <c r="A5" i="4" s="1"/>
  <c r="A4" i="4" s="1"/>
  <c r="A3" i="4" s="1"/>
  <c r="A82" i="4"/>
  <c r="A83" i="4" s="1"/>
  <c r="A84" i="4" s="1"/>
  <c r="A85" i="4" s="1"/>
  <c r="A86" i="4" s="1"/>
  <c r="A87" i="4" s="1"/>
  <c r="A88" i="4" s="1"/>
  <c r="A89" i="4" s="1"/>
  <c r="A90" i="4" s="1"/>
  <c r="A91" i="4" s="1"/>
  <c r="A92" i="4" s="1"/>
  <c r="A93" i="4" s="1"/>
  <c r="A94" i="4" s="1"/>
  <c r="A95" i="4" s="1"/>
  <c r="A96" i="4" s="1"/>
  <c r="A97" i="4" s="1"/>
  <c r="A98" i="4" s="1"/>
  <c r="A99" i="4" s="1"/>
  <c r="A100" i="4" s="1"/>
  <c r="A101" i="4" s="1"/>
  <c r="A81" i="4"/>
  <c r="B45" i="8"/>
  <c r="B44" i="8"/>
  <c r="B43" i="8"/>
  <c r="B41" i="8"/>
  <c r="B40" i="8"/>
  <c r="B32" i="8"/>
  <c r="B31" i="8"/>
  <c r="B17" i="8"/>
  <c r="B16" i="8"/>
  <c r="C51" i="8"/>
  <c r="B51" i="8" s="1"/>
  <c r="C49" i="8"/>
  <c r="B49" i="8" s="1"/>
  <c r="C47" i="8"/>
  <c r="B47" i="8" s="1"/>
  <c r="C53" i="8"/>
  <c r="B53" i="8" s="1"/>
  <c r="S50" i="1" s="1"/>
  <c r="I83" i="8"/>
  <c r="I81" i="8"/>
  <c r="I79" i="8"/>
  <c r="I77" i="8"/>
  <c r="I75" i="8"/>
  <c r="I73" i="8"/>
  <c r="I71" i="8"/>
  <c r="I69" i="8"/>
  <c r="I67" i="8"/>
  <c r="I65" i="8"/>
  <c r="I63" i="8"/>
  <c r="I61" i="8"/>
  <c r="I59" i="8"/>
  <c r="I57" i="8"/>
  <c r="I55" i="8"/>
  <c r="I84" i="8"/>
  <c r="I82" i="8"/>
  <c r="I80" i="8"/>
  <c r="I78" i="8"/>
  <c r="I76" i="8"/>
  <c r="I74" i="8"/>
  <c r="I72" i="8"/>
  <c r="I70" i="8"/>
  <c r="I68" i="8"/>
  <c r="I66" i="8"/>
  <c r="I64" i="8"/>
  <c r="I62" i="8"/>
  <c r="I60" i="8"/>
  <c r="I58" i="8"/>
  <c r="I56" i="8"/>
  <c r="I54" i="8"/>
  <c r="C52" i="8"/>
  <c r="B52" i="8" s="1"/>
  <c r="C50" i="8"/>
  <c r="B50" i="8" s="1"/>
  <c r="C48" i="8"/>
  <c r="B48" i="8" s="1"/>
  <c r="C46" i="8"/>
  <c r="B46" i="8" s="1"/>
  <c r="C42" i="8"/>
  <c r="B42" i="8" s="1"/>
  <c r="C39" i="8"/>
  <c r="B39" i="8" s="1"/>
  <c r="C38" i="8"/>
  <c r="B38" i="8" s="1"/>
  <c r="C37" i="8"/>
  <c r="B37" i="8" s="1"/>
  <c r="C36" i="8"/>
  <c r="B36" i="8" s="1"/>
  <c r="C35" i="8"/>
  <c r="B35" i="8" s="1"/>
  <c r="C34" i="8"/>
  <c r="B34" i="8" s="1"/>
  <c r="C33" i="8"/>
  <c r="B33" i="8" s="1"/>
  <c r="C30" i="8"/>
  <c r="B30" i="8" s="1"/>
  <c r="C29" i="8"/>
  <c r="B29" i="8" s="1"/>
  <c r="C28" i="8"/>
  <c r="B28" i="8" s="1"/>
  <c r="C27" i="8"/>
  <c r="B27" i="8" s="1"/>
  <c r="C26" i="8"/>
  <c r="B26" i="8" s="1"/>
  <c r="C25" i="8"/>
  <c r="B25" i="8" s="1"/>
  <c r="C24" i="8"/>
  <c r="B24" i="8" s="1"/>
  <c r="C23" i="8"/>
  <c r="B23" i="8" s="1"/>
  <c r="C22" i="8"/>
  <c r="B22" i="8" s="1"/>
  <c r="C21" i="8"/>
  <c r="B21" i="8" s="1"/>
  <c r="C20" i="8"/>
  <c r="B20" i="8" s="1"/>
  <c r="C19" i="8"/>
  <c r="B19" i="8" s="1"/>
  <c r="C18" i="8"/>
  <c r="B18" i="8" s="1"/>
  <c r="C15" i="8"/>
  <c r="B15" i="8" s="1"/>
  <c r="C14" i="8"/>
  <c r="B14" i="8" s="1"/>
  <c r="C13" i="8"/>
  <c r="B13" i="8" s="1"/>
  <c r="C12" i="8"/>
  <c r="B12" i="8" s="1"/>
  <c r="C11" i="8"/>
  <c r="B11" i="8" s="1"/>
  <c r="A53" i="8"/>
  <c r="A52" i="8" s="1"/>
  <c r="A51" i="8" s="1"/>
  <c r="A50" i="8" s="1"/>
  <c r="A49" i="8" s="1"/>
  <c r="A48" i="8" s="1"/>
  <c r="A47" i="8" s="1"/>
  <c r="A46" i="8" s="1"/>
  <c r="A45" i="8" s="1"/>
  <c r="A44" i="8" s="1"/>
  <c r="A43" i="8" s="1"/>
  <c r="A42" i="8" s="1"/>
  <c r="A41" i="8" s="1"/>
  <c r="A40" i="8" s="1"/>
  <c r="A39" i="8" s="1"/>
  <c r="A38" i="8" s="1"/>
  <c r="A37" i="8" s="1"/>
  <c r="A36" i="8" s="1"/>
  <c r="A35" i="8" s="1"/>
  <c r="A34" i="8" s="1"/>
  <c r="A33" i="8" s="1"/>
  <c r="A32" i="8" s="1"/>
  <c r="A31" i="8" s="1"/>
  <c r="A30" i="8" s="1"/>
  <c r="A29" i="8" s="1"/>
  <c r="A28" i="8" s="1"/>
  <c r="A27" i="8" s="1"/>
  <c r="A26" i="8" s="1"/>
  <c r="A25" i="8" s="1"/>
  <c r="A24" i="8" s="1"/>
  <c r="A23" i="8" s="1"/>
  <c r="A22" i="8" s="1"/>
  <c r="A21" i="8" s="1"/>
  <c r="A20" i="8" s="1"/>
  <c r="A19" i="8" s="1"/>
  <c r="A18" i="8" s="1"/>
  <c r="A17" i="8" s="1"/>
  <c r="A16" i="8" s="1"/>
  <c r="A15" i="8" s="1"/>
  <c r="A14" i="8" s="1"/>
  <c r="A13" i="8" s="1"/>
  <c r="A12" i="8" s="1"/>
  <c r="A11" i="8" s="1"/>
  <c r="A10" i="8" s="1"/>
  <c r="A9" i="8" s="1"/>
  <c r="A8" i="8" s="1"/>
  <c r="A7" i="8" s="1"/>
  <c r="A6" i="8" s="1"/>
  <c r="A5" i="8" s="1"/>
  <c r="A4" i="8" s="1"/>
  <c r="H96" i="1"/>
  <c r="B78" i="4"/>
  <c r="N76" i="32" s="1"/>
  <c r="B74" i="4"/>
  <c r="N72" i="32" s="1"/>
  <c r="Q12" i="1"/>
  <c r="Q24" i="1"/>
  <c r="Q27" i="1"/>
  <c r="Q30" i="1"/>
  <c r="Q81" i="1"/>
  <c r="Q92" i="1"/>
  <c r="Q94" i="1"/>
  <c r="Q96" i="1"/>
  <c r="S24" i="1" l="1"/>
  <c r="S6" i="1"/>
  <c r="S7" i="1"/>
  <c r="S9" i="1"/>
  <c r="S11" i="1"/>
  <c r="S13" i="1"/>
  <c r="S15" i="1"/>
  <c r="S17" i="1"/>
  <c r="S19" i="1"/>
  <c r="S21" i="1"/>
  <c r="S23" i="1"/>
  <c r="S25" i="1"/>
  <c r="S27" i="1"/>
  <c r="S29" i="1"/>
  <c r="S31" i="1"/>
  <c r="S33" i="1"/>
  <c r="S35" i="1"/>
  <c r="S37" i="1"/>
  <c r="S39" i="1"/>
  <c r="S41" i="1"/>
  <c r="S43" i="1"/>
  <c r="S45" i="1"/>
  <c r="S47" i="1"/>
  <c r="S49" i="1"/>
  <c r="S4" i="1"/>
  <c r="S8" i="1"/>
  <c r="S10" i="1"/>
  <c r="S12" i="1"/>
  <c r="S14" i="1"/>
  <c r="S16" i="1"/>
  <c r="S18" i="1"/>
  <c r="S20" i="1"/>
  <c r="S22" i="1"/>
  <c r="S26" i="1"/>
  <c r="S28" i="1"/>
  <c r="S30" i="1"/>
  <c r="S32" i="1"/>
  <c r="S34" i="1"/>
  <c r="S36" i="1"/>
  <c r="S38" i="1"/>
  <c r="S40" i="1"/>
  <c r="S42" i="1"/>
  <c r="S44" i="1"/>
  <c r="S46" i="1"/>
  <c r="S48" i="1"/>
  <c r="S72" i="1"/>
  <c r="S76" i="1"/>
  <c r="J75" i="25"/>
  <c r="I75" i="25"/>
  <c r="J74" i="25"/>
  <c r="X71" i="32" s="1"/>
  <c r="I74" i="25"/>
  <c r="J73" i="25"/>
  <c r="I73" i="25"/>
  <c r="J72" i="25"/>
  <c r="I72" i="25"/>
  <c r="J71" i="25"/>
  <c r="I71" i="25"/>
  <c r="J70" i="25"/>
  <c r="I70" i="25"/>
  <c r="J69" i="25"/>
  <c r="I69" i="25"/>
  <c r="J68" i="25"/>
  <c r="I68" i="25"/>
  <c r="J67" i="25"/>
  <c r="I67" i="25"/>
  <c r="J66" i="25"/>
  <c r="I66" i="25"/>
  <c r="J65" i="25"/>
  <c r="I65" i="25"/>
  <c r="J64" i="25"/>
  <c r="I64" i="25"/>
  <c r="J63" i="25"/>
  <c r="I63" i="25"/>
  <c r="J62" i="25"/>
  <c r="I62" i="25"/>
  <c r="J61" i="25"/>
  <c r="I61" i="25"/>
  <c r="J60" i="25"/>
  <c r="I60" i="25"/>
  <c r="J59" i="25"/>
  <c r="I59" i="25"/>
  <c r="J58" i="25"/>
  <c r="I58" i="25"/>
  <c r="J57" i="25"/>
  <c r="I57" i="25"/>
  <c r="J56" i="25"/>
  <c r="I56" i="25"/>
  <c r="J55" i="25"/>
  <c r="I55" i="25"/>
  <c r="J54" i="25"/>
  <c r="I54" i="25"/>
  <c r="J53" i="25"/>
  <c r="I53" i="25"/>
  <c r="J52" i="25"/>
  <c r="I52" i="25"/>
  <c r="J51" i="25"/>
  <c r="I51" i="25"/>
  <c r="J50" i="25"/>
  <c r="I50" i="25"/>
  <c r="J49" i="25"/>
  <c r="I49" i="25"/>
  <c r="J48" i="25"/>
  <c r="I48" i="25"/>
  <c r="J47" i="25"/>
  <c r="I47" i="25"/>
  <c r="J46" i="25"/>
  <c r="I46" i="25"/>
  <c r="J45" i="25"/>
  <c r="I45" i="25"/>
  <c r="J44" i="25"/>
  <c r="I44" i="25"/>
  <c r="J43" i="25"/>
  <c r="I43" i="25"/>
  <c r="J42" i="25"/>
  <c r="I42" i="25"/>
  <c r="J41" i="25"/>
  <c r="I41" i="25"/>
  <c r="J40" i="25"/>
  <c r="I40" i="25"/>
  <c r="J39" i="25"/>
  <c r="I39" i="25"/>
  <c r="J38" i="25"/>
  <c r="I38" i="25"/>
  <c r="J37" i="25"/>
  <c r="I37" i="25"/>
  <c r="J36" i="25"/>
  <c r="I36" i="25"/>
  <c r="J35" i="25"/>
  <c r="I35" i="25"/>
  <c r="J34" i="25"/>
  <c r="I34" i="25"/>
  <c r="J33" i="25"/>
  <c r="I33" i="25"/>
  <c r="J32" i="25"/>
  <c r="I32" i="25"/>
  <c r="J31" i="25"/>
  <c r="I31" i="25"/>
  <c r="J30" i="25"/>
  <c r="I30" i="25"/>
  <c r="J29" i="25"/>
  <c r="I29" i="25"/>
  <c r="J28" i="25"/>
  <c r="I28" i="25"/>
  <c r="J27" i="25"/>
  <c r="I27" i="25"/>
  <c r="J26" i="25"/>
  <c r="I26" i="25"/>
  <c r="J25" i="25"/>
  <c r="I25" i="25"/>
  <c r="J24" i="25"/>
  <c r="I24" i="25"/>
  <c r="J23" i="25"/>
  <c r="I23" i="25"/>
  <c r="J22" i="25"/>
  <c r="I22" i="25"/>
  <c r="J21" i="25"/>
  <c r="I21" i="25"/>
  <c r="J20" i="25"/>
  <c r="I20" i="25"/>
  <c r="J19" i="25"/>
  <c r="I19" i="25"/>
  <c r="J18" i="25"/>
  <c r="I18" i="25"/>
  <c r="J17" i="25"/>
  <c r="I17" i="25"/>
  <c r="J16" i="25"/>
  <c r="I16" i="25"/>
  <c r="J15" i="25"/>
  <c r="I15" i="25"/>
  <c r="J14" i="25"/>
  <c r="I14" i="25"/>
  <c r="J13" i="25"/>
  <c r="I13" i="25"/>
  <c r="J12" i="25"/>
  <c r="I12" i="25"/>
  <c r="J11" i="25"/>
  <c r="I11" i="25"/>
  <c r="J10" i="25"/>
  <c r="I10" i="25"/>
  <c r="J9" i="25"/>
  <c r="I9" i="25"/>
  <c r="J8" i="25"/>
  <c r="I8" i="25"/>
  <c r="J7" i="25"/>
  <c r="I7" i="25"/>
  <c r="J6" i="25"/>
  <c r="I6" i="25"/>
  <c r="J5" i="25"/>
  <c r="I5" i="25"/>
  <c r="J4" i="25"/>
  <c r="I4" i="25"/>
  <c r="J3" i="25"/>
  <c r="I3" i="25"/>
  <c r="Z97" i="25"/>
  <c r="Z95" i="25"/>
  <c r="Z94" i="25"/>
  <c r="Z93" i="25"/>
  <c r="Z92" i="25"/>
  <c r="Z91" i="25"/>
  <c r="Z90" i="25"/>
  <c r="Z89" i="25"/>
  <c r="Z88" i="25"/>
  <c r="Z87" i="25"/>
  <c r="Z86" i="25"/>
  <c r="Z85" i="25"/>
  <c r="Z84" i="25"/>
  <c r="Z83" i="25"/>
  <c r="Z82" i="25"/>
  <c r="Z81" i="25"/>
  <c r="Z80" i="25"/>
  <c r="Z79" i="25"/>
  <c r="Z78" i="25"/>
  <c r="Z77" i="25"/>
  <c r="Z76" i="25"/>
  <c r="Z75" i="25"/>
  <c r="Z74" i="25"/>
  <c r="Z73" i="25"/>
  <c r="Z72" i="25"/>
  <c r="Z71" i="25"/>
  <c r="Z70" i="25"/>
  <c r="Z69" i="25"/>
  <c r="Z68" i="25"/>
  <c r="Z67" i="25"/>
  <c r="Z66" i="25"/>
  <c r="Z65" i="25"/>
  <c r="Z64" i="25"/>
  <c r="Z63" i="25"/>
  <c r="Z62" i="25"/>
  <c r="Z61" i="25"/>
  <c r="Z60" i="25"/>
  <c r="Z59" i="25"/>
  <c r="Z58" i="25"/>
  <c r="Z57" i="25"/>
  <c r="Z56" i="25"/>
  <c r="Z55" i="25"/>
  <c r="Z54" i="25"/>
  <c r="Z53" i="25"/>
  <c r="Z52" i="25"/>
  <c r="Z51" i="25"/>
  <c r="Z50" i="25"/>
  <c r="Z49" i="25"/>
  <c r="Z48" i="25"/>
  <c r="Z47" i="25"/>
  <c r="Z46" i="25"/>
  <c r="Z45" i="25"/>
  <c r="Z44" i="25"/>
  <c r="Z43" i="25"/>
  <c r="Z42" i="25"/>
  <c r="Z41" i="25"/>
  <c r="Z40" i="25"/>
  <c r="Z39" i="25"/>
  <c r="Z38" i="25"/>
  <c r="Z37" i="25"/>
  <c r="Z36" i="25"/>
  <c r="Z35" i="25"/>
  <c r="Z34" i="25"/>
  <c r="Z33" i="25"/>
  <c r="Z32" i="25"/>
  <c r="Z31" i="25"/>
  <c r="Z30" i="25"/>
  <c r="Z29" i="25"/>
  <c r="Z28" i="25"/>
  <c r="Z27" i="25"/>
  <c r="Z26" i="25"/>
  <c r="Z25" i="25"/>
  <c r="Z24" i="25"/>
  <c r="Z23" i="25"/>
  <c r="Z22" i="25"/>
  <c r="Z21" i="25"/>
  <c r="Z20" i="25"/>
  <c r="Z19" i="25"/>
  <c r="Z18" i="25"/>
  <c r="Z17" i="25"/>
  <c r="Z16" i="25"/>
  <c r="Z15" i="25"/>
  <c r="Z14" i="25"/>
  <c r="Z13" i="25"/>
  <c r="Z12" i="25"/>
  <c r="Z11" i="25"/>
  <c r="Z10" i="25"/>
  <c r="Z9" i="25"/>
  <c r="Z8" i="25"/>
  <c r="Z7" i="25"/>
  <c r="Z6" i="25"/>
  <c r="Z5" i="25"/>
  <c r="Z4" i="25"/>
  <c r="Z3" i="25"/>
  <c r="G76" i="25"/>
  <c r="I76" i="25" s="1"/>
  <c r="H76" i="25"/>
  <c r="J76" i="25" s="1"/>
  <c r="H136" i="25"/>
  <c r="H125" i="25"/>
  <c r="H120" i="25"/>
  <c r="AC76" i="25" l="1"/>
  <c r="W73" i="32"/>
  <c r="X5" i="32"/>
  <c r="X6" i="32"/>
  <c r="X7" i="32"/>
  <c r="X8" i="32"/>
  <c r="X9" i="32"/>
  <c r="X10" i="32"/>
  <c r="X11" i="32"/>
  <c r="X12" i="32"/>
  <c r="X13" i="32"/>
  <c r="X14" i="32"/>
  <c r="X15" i="32"/>
  <c r="X16" i="32"/>
  <c r="X17" i="32"/>
  <c r="X18" i="32"/>
  <c r="X19" i="32"/>
  <c r="X20" i="32"/>
  <c r="X21" i="32"/>
  <c r="X22" i="32"/>
  <c r="X24" i="32"/>
  <c r="X29" i="32"/>
  <c r="X34" i="32"/>
  <c r="X39" i="32"/>
  <c r="X44" i="32"/>
  <c r="X49" i="32"/>
  <c r="X55" i="32"/>
  <c r="X61" i="32"/>
  <c r="X23" i="32"/>
  <c r="X25" i="32"/>
  <c r="X26" i="32"/>
  <c r="X27" i="32"/>
  <c r="X28" i="32"/>
  <c r="X30" i="32"/>
  <c r="X31" i="32"/>
  <c r="X32" i="32"/>
  <c r="X33" i="32"/>
  <c r="X35" i="32"/>
  <c r="X36" i="32"/>
  <c r="X37" i="32"/>
  <c r="X38" i="32"/>
  <c r="X40" i="32"/>
  <c r="X41" i="32"/>
  <c r="X42" i="32"/>
  <c r="X43" i="32"/>
  <c r="X45" i="32"/>
  <c r="X46" i="32"/>
  <c r="X47" i="32"/>
  <c r="X48" i="32"/>
  <c r="X50" i="32"/>
  <c r="X51" i="32"/>
  <c r="X52" i="32"/>
  <c r="X53" i="32"/>
  <c r="X54" i="32"/>
  <c r="X56" i="32"/>
  <c r="X57" i="32"/>
  <c r="X58" i="32"/>
  <c r="X59" i="32"/>
  <c r="X60" i="32"/>
  <c r="X62" i="32"/>
  <c r="X63" i="32"/>
  <c r="X64" i="32"/>
  <c r="X65" i="32"/>
  <c r="X66" i="32"/>
  <c r="X67" i="32"/>
  <c r="X68" i="32"/>
  <c r="X69" i="32"/>
  <c r="X70" i="32"/>
  <c r="X72" i="32"/>
  <c r="X73" i="32"/>
  <c r="AC3" i="25"/>
  <c r="AC4" i="25"/>
  <c r="AC5" i="25"/>
  <c r="AC6" i="25"/>
  <c r="AC8" i="25"/>
  <c r="W5" i="32"/>
  <c r="AC5" i="32" s="1"/>
  <c r="AC9" i="25"/>
  <c r="W6" i="32"/>
  <c r="AC6" i="32" s="1"/>
  <c r="AC10" i="25"/>
  <c r="W7" i="32"/>
  <c r="AC7" i="32" s="1"/>
  <c r="AC11" i="25"/>
  <c r="W8" i="32"/>
  <c r="AC8" i="32" s="1"/>
  <c r="AC12" i="25"/>
  <c r="W9" i="32"/>
  <c r="AC9" i="32" s="1"/>
  <c r="AC13" i="25"/>
  <c r="W10" i="32"/>
  <c r="AC10" i="32" s="1"/>
  <c r="AC14" i="25"/>
  <c r="W11" i="32"/>
  <c r="AC11" i="32" s="1"/>
  <c r="AC15" i="25"/>
  <c r="W12" i="32"/>
  <c r="AC12" i="32" s="1"/>
  <c r="AC16" i="25"/>
  <c r="W13" i="32"/>
  <c r="AC13" i="32" s="1"/>
  <c r="AC17" i="25"/>
  <c r="W14" i="32"/>
  <c r="AC14" i="32" s="1"/>
  <c r="AC18" i="25"/>
  <c r="W15" i="32"/>
  <c r="AC15" i="32" s="1"/>
  <c r="AC19" i="25"/>
  <c r="W16" i="32"/>
  <c r="AC16" i="32" s="1"/>
  <c r="AC20" i="25"/>
  <c r="W17" i="32"/>
  <c r="AC17" i="32" s="1"/>
  <c r="AC21" i="25"/>
  <c r="W18" i="32"/>
  <c r="AC18" i="32" s="1"/>
  <c r="AC22" i="25"/>
  <c r="W19" i="32"/>
  <c r="AC19" i="32" s="1"/>
  <c r="AC23" i="25"/>
  <c r="W20" i="32"/>
  <c r="AC20" i="32" s="1"/>
  <c r="AC24" i="25"/>
  <c r="W21" i="32"/>
  <c r="AC21" i="32" s="1"/>
  <c r="AC25" i="25"/>
  <c r="W22" i="32"/>
  <c r="AC22" i="32" s="1"/>
  <c r="AC26" i="25"/>
  <c r="W23" i="32"/>
  <c r="AC23" i="32" s="1"/>
  <c r="AC27" i="25"/>
  <c r="W24" i="32"/>
  <c r="AC24" i="32" s="1"/>
  <c r="AC28" i="25"/>
  <c r="W25" i="32"/>
  <c r="AC25" i="32" s="1"/>
  <c r="AC29" i="25"/>
  <c r="W26" i="32"/>
  <c r="AC26" i="32" s="1"/>
  <c r="AC30" i="25"/>
  <c r="W27" i="32"/>
  <c r="AC27" i="32" s="1"/>
  <c r="AC31" i="25"/>
  <c r="W28" i="32"/>
  <c r="AC28" i="32" s="1"/>
  <c r="AC32" i="25"/>
  <c r="W29" i="32"/>
  <c r="AC29" i="32" s="1"/>
  <c r="AC33" i="25"/>
  <c r="W30" i="32"/>
  <c r="AC30" i="32" s="1"/>
  <c r="AC34" i="25"/>
  <c r="W31" i="32"/>
  <c r="AC31" i="32" s="1"/>
  <c r="AC35" i="25"/>
  <c r="W32" i="32"/>
  <c r="AC32" i="32" s="1"/>
  <c r="AC36" i="25"/>
  <c r="W33" i="32"/>
  <c r="AC33" i="32" s="1"/>
  <c r="AC37" i="25"/>
  <c r="W34" i="32"/>
  <c r="AC34" i="32" s="1"/>
  <c r="AC38" i="25"/>
  <c r="W35" i="32"/>
  <c r="AC35" i="32" s="1"/>
  <c r="AC39" i="25"/>
  <c r="W36" i="32"/>
  <c r="AC36" i="32" s="1"/>
  <c r="AC40" i="25"/>
  <c r="W37" i="32"/>
  <c r="AC37" i="32" s="1"/>
  <c r="AC41" i="25"/>
  <c r="W38" i="32"/>
  <c r="AC38" i="32" s="1"/>
  <c r="AC42" i="25"/>
  <c r="W39" i="32"/>
  <c r="AC39" i="32" s="1"/>
  <c r="AC43" i="25"/>
  <c r="W40" i="32"/>
  <c r="AC40" i="32" s="1"/>
  <c r="AC44" i="25"/>
  <c r="W41" i="32"/>
  <c r="AC41" i="32" s="1"/>
  <c r="AC45" i="25"/>
  <c r="W42" i="32"/>
  <c r="AC42" i="32" s="1"/>
  <c r="AC46" i="25"/>
  <c r="W43" i="32"/>
  <c r="AC43" i="32" s="1"/>
  <c r="AC47" i="25"/>
  <c r="W44" i="32"/>
  <c r="AC44" i="32" s="1"/>
  <c r="AC48" i="25"/>
  <c r="W45" i="32"/>
  <c r="AC45" i="32" s="1"/>
  <c r="AC49" i="25"/>
  <c r="W46" i="32"/>
  <c r="AC46" i="32" s="1"/>
  <c r="AC50" i="25"/>
  <c r="W47" i="32"/>
  <c r="AC47" i="32" s="1"/>
  <c r="AC51" i="25"/>
  <c r="W48" i="32"/>
  <c r="AC48" i="32" s="1"/>
  <c r="AC52" i="25"/>
  <c r="W49" i="32"/>
  <c r="AC49" i="32" s="1"/>
  <c r="AC53" i="25"/>
  <c r="W50" i="32"/>
  <c r="AC50" i="32" s="1"/>
  <c r="AC54" i="25"/>
  <c r="W51" i="32"/>
  <c r="AC51" i="32" s="1"/>
  <c r="AC55" i="25"/>
  <c r="W52" i="32"/>
  <c r="AC52" i="32" s="1"/>
  <c r="AC56" i="25"/>
  <c r="W53" i="32"/>
  <c r="AC53" i="32" s="1"/>
  <c r="AC57" i="25"/>
  <c r="W54" i="32"/>
  <c r="AC54" i="32" s="1"/>
  <c r="AC58" i="25"/>
  <c r="W55" i="32"/>
  <c r="AC55" i="32" s="1"/>
  <c r="AC59" i="25"/>
  <c r="W56" i="32"/>
  <c r="AC56" i="32" s="1"/>
  <c r="AC60" i="25"/>
  <c r="W57" i="32"/>
  <c r="AC57" i="32" s="1"/>
  <c r="AC61" i="25"/>
  <c r="W58" i="32"/>
  <c r="AC58" i="32" s="1"/>
  <c r="AC62" i="25"/>
  <c r="W59" i="32"/>
  <c r="AC59" i="32" s="1"/>
  <c r="AC63" i="25"/>
  <c r="W60" i="32"/>
  <c r="AC60" i="32" s="1"/>
  <c r="AC64" i="25"/>
  <c r="W61" i="32"/>
  <c r="AC61" i="32" s="1"/>
  <c r="AC65" i="25"/>
  <c r="W62" i="32"/>
  <c r="AC62" i="32" s="1"/>
  <c r="AC66" i="25"/>
  <c r="W63" i="32"/>
  <c r="AC63" i="32" s="1"/>
  <c r="AC67" i="25"/>
  <c r="W64" i="32"/>
  <c r="AC64" i="32" s="1"/>
  <c r="AC68" i="25"/>
  <c r="W65" i="32"/>
  <c r="AC65" i="32" s="1"/>
  <c r="AC69" i="25"/>
  <c r="W66" i="32"/>
  <c r="AC66" i="32" s="1"/>
  <c r="AC70" i="25"/>
  <c r="W67" i="32"/>
  <c r="AC67" i="32" s="1"/>
  <c r="AC71" i="25"/>
  <c r="W68" i="32"/>
  <c r="AC68" i="32" s="1"/>
  <c r="AC72" i="25"/>
  <c r="W69" i="32"/>
  <c r="AC69" i="32" s="1"/>
  <c r="AC73" i="25"/>
  <c r="W70" i="32"/>
  <c r="AC70" i="32" s="1"/>
  <c r="AC74" i="25"/>
  <c r="W71" i="32"/>
  <c r="AC71" i="32" s="1"/>
  <c r="AC75" i="25"/>
  <c r="W72" i="32"/>
  <c r="AC72" i="32" s="1"/>
  <c r="H77" i="25"/>
  <c r="H78" i="25" s="1"/>
  <c r="H79" i="25" s="1"/>
  <c r="H80" i="25" s="1"/>
  <c r="H81" i="25" s="1"/>
  <c r="H82" i="25" s="1"/>
  <c r="H83" i="25" s="1"/>
  <c r="H84" i="25" s="1"/>
  <c r="H85" i="25" s="1"/>
  <c r="H86" i="25" s="1"/>
  <c r="H87" i="25" s="1"/>
  <c r="H88" i="25" s="1"/>
  <c r="H89" i="25" s="1"/>
  <c r="H90" i="25" s="1"/>
  <c r="H91" i="25" s="1"/>
  <c r="H92" i="25" s="1"/>
  <c r="H93" i="25" s="1"/>
  <c r="H94" i="25" s="1"/>
  <c r="H95" i="25" s="1"/>
  <c r="H96" i="25" s="1"/>
  <c r="H97" i="25" s="1"/>
  <c r="J97" i="25" s="1"/>
  <c r="AC7" i="25"/>
  <c r="G77" i="25"/>
  <c r="J78" i="25"/>
  <c r="X75" i="32" s="1"/>
  <c r="J79" i="25"/>
  <c r="X76" i="32" s="1"/>
  <c r="J80" i="25"/>
  <c r="X77" i="32" s="1"/>
  <c r="J81" i="25"/>
  <c r="X78" i="32" s="1"/>
  <c r="J82" i="25"/>
  <c r="J83" i="25"/>
  <c r="J84" i="25"/>
  <c r="X81" i="32" s="1"/>
  <c r="J85" i="25"/>
  <c r="J86" i="25"/>
  <c r="X83" i="32" s="1"/>
  <c r="J87" i="25"/>
  <c r="J88" i="25"/>
  <c r="X85" i="32" s="1"/>
  <c r="J89" i="25"/>
  <c r="J90" i="25"/>
  <c r="X87" i="32" s="1"/>
  <c r="J91" i="25"/>
  <c r="J92" i="25"/>
  <c r="X89" i="32" s="1"/>
  <c r="J93" i="25"/>
  <c r="J94" i="25"/>
  <c r="X91" i="32" s="1"/>
  <c r="J95" i="25"/>
  <c r="X92" i="32" l="1"/>
  <c r="J96" i="25"/>
  <c r="X90" i="32"/>
  <c r="X88" i="32"/>
  <c r="X86" i="32"/>
  <c r="X84" i="32"/>
  <c r="X82" i="32"/>
  <c r="X80" i="32"/>
  <c r="AC73" i="32"/>
  <c r="J77" i="25"/>
  <c r="X74" i="32" s="1"/>
  <c r="G78" i="25"/>
  <c r="I77" i="25"/>
  <c r="A93" i="1"/>
  <c r="A94" i="1" s="1"/>
  <c r="A95" i="1" s="1"/>
  <c r="A96" i="1" s="1"/>
  <c r="A97" i="1" s="1"/>
  <c r="A98" i="1" s="1"/>
  <c r="A92"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H22" i="1" s="1"/>
  <c r="M21" i="1"/>
  <c r="H21" i="1" s="1"/>
  <c r="M20" i="1"/>
  <c r="H20" i="1" s="1"/>
  <c r="M19" i="1"/>
  <c r="H19" i="1" s="1"/>
  <c r="M18" i="1"/>
  <c r="H18" i="1" s="1"/>
  <c r="M17" i="1"/>
  <c r="H17" i="1" s="1"/>
  <c r="M16" i="1"/>
  <c r="H16" i="1" s="1"/>
  <c r="M15" i="1"/>
  <c r="H15" i="1" s="1"/>
  <c r="M14" i="1"/>
  <c r="H14" i="1" s="1"/>
  <c r="M13" i="1"/>
  <c r="H13" i="1" s="1"/>
  <c r="M12" i="1"/>
  <c r="H12" i="1" s="1"/>
  <c r="M11" i="1"/>
  <c r="H11" i="1" s="1"/>
  <c r="M10" i="1"/>
  <c r="H10" i="1" s="1"/>
  <c r="M9" i="1"/>
  <c r="H9" i="1" s="1"/>
  <c r="M8" i="1"/>
  <c r="H8" i="1" s="1"/>
  <c r="M7" i="1"/>
  <c r="M4" i="1"/>
  <c r="H4" i="1" s="1"/>
  <c r="M3" i="1"/>
  <c r="H3" i="1" s="1"/>
  <c r="C12" i="1"/>
  <c r="C11" i="1"/>
  <c r="C10" i="1"/>
  <c r="C9" i="1"/>
  <c r="I9" i="1" s="1"/>
  <c r="C8" i="1"/>
  <c r="C7" i="1"/>
  <c r="C6" i="1"/>
  <c r="C5" i="1"/>
  <c r="C4" i="1"/>
  <c r="I4" i="1" s="1"/>
  <c r="C3" i="1"/>
  <c r="I3" i="1" s="1"/>
  <c r="E12" i="1"/>
  <c r="F12" i="1" s="1"/>
  <c r="E11" i="1"/>
  <c r="F11" i="1" s="1"/>
  <c r="E10" i="1"/>
  <c r="F10" i="1" s="1"/>
  <c r="E9" i="1"/>
  <c r="E8" i="1"/>
  <c r="F8" i="1" s="1"/>
  <c r="E7" i="1"/>
  <c r="F7" i="1" s="1"/>
  <c r="E6" i="1"/>
  <c r="F6" i="1" s="1"/>
  <c r="E4" i="1"/>
  <c r="N22" i="1"/>
  <c r="N21" i="1"/>
  <c r="N20" i="1"/>
  <c r="N19" i="1"/>
  <c r="N18" i="1"/>
  <c r="N17" i="1"/>
  <c r="N15" i="1"/>
  <c r="N14" i="1"/>
  <c r="N13" i="1"/>
  <c r="A12" i="1"/>
  <c r="A11" i="1" s="1"/>
  <c r="A10" i="1" s="1"/>
  <c r="A9" i="1" s="1"/>
  <c r="A8" i="1" s="1"/>
  <c r="A7" i="1" s="1"/>
  <c r="A6" i="1" s="1"/>
  <c r="A5" i="1" s="1"/>
  <c r="A4" i="1" s="1"/>
  <c r="D90" i="1"/>
  <c r="D88" i="1"/>
  <c r="D76" i="1"/>
  <c r="D58" i="1"/>
  <c r="B91" i="1"/>
  <c r="D91" i="1" s="1"/>
  <c r="B90" i="1"/>
  <c r="B89" i="1"/>
  <c r="D89" i="1" s="1"/>
  <c r="B88" i="1"/>
  <c r="B86" i="1"/>
  <c r="D86" i="1" s="1"/>
  <c r="B76" i="1"/>
  <c r="B67" i="1"/>
  <c r="D67" i="1" s="1"/>
  <c r="B60" i="1"/>
  <c r="D60" i="1" s="1"/>
  <c r="C64" i="1"/>
  <c r="B58" i="1"/>
  <c r="B42" i="1"/>
  <c r="C42" i="1"/>
  <c r="B39" i="1"/>
  <c r="D39" i="1" s="1"/>
  <c r="B38" i="1"/>
  <c r="D38" i="1" s="1"/>
  <c r="B36" i="1"/>
  <c r="D36" i="1" s="1"/>
  <c r="B35" i="1"/>
  <c r="D35" i="1" s="1"/>
  <c r="B33" i="1"/>
  <c r="D33" i="1" s="1"/>
  <c r="B32" i="1"/>
  <c r="D32" i="1" s="1"/>
  <c r="B30" i="1"/>
  <c r="D30" i="1" s="1"/>
  <c r="B27" i="1"/>
  <c r="D27" i="1" s="1"/>
  <c r="B24" i="1"/>
  <c r="D24" i="1" s="1"/>
  <c r="B23" i="1"/>
  <c r="D23" i="1" s="1"/>
  <c r="B22" i="1"/>
  <c r="D22" i="1" s="1"/>
  <c r="B21" i="1"/>
  <c r="D21" i="1" s="1"/>
  <c r="B20" i="1"/>
  <c r="D20" i="1" s="1"/>
  <c r="B19" i="1"/>
  <c r="D19" i="1" s="1"/>
  <c r="B18" i="1"/>
  <c r="D18" i="1" s="1"/>
  <c r="C16" i="1"/>
  <c r="E91" i="1"/>
  <c r="E90" i="1"/>
  <c r="F90" i="1" s="1"/>
  <c r="E89" i="1"/>
  <c r="E88" i="1"/>
  <c r="F88" i="1" s="1"/>
  <c r="E87" i="1"/>
  <c r="F87" i="1" s="1"/>
  <c r="E86" i="1"/>
  <c r="E85" i="1"/>
  <c r="F85" i="1" s="1"/>
  <c r="E84" i="1"/>
  <c r="F84" i="1" s="1"/>
  <c r="E83" i="1"/>
  <c r="F83" i="1" s="1"/>
  <c r="E82" i="1"/>
  <c r="F82" i="1" s="1"/>
  <c r="E81" i="1"/>
  <c r="F81" i="1" s="1"/>
  <c r="E80" i="1"/>
  <c r="F80" i="1" s="1"/>
  <c r="E79" i="1"/>
  <c r="F79" i="1" s="1"/>
  <c r="E78" i="1"/>
  <c r="F78" i="1" s="1"/>
  <c r="E77" i="1"/>
  <c r="F77" i="1" s="1"/>
  <c r="E76" i="1"/>
  <c r="F76" i="1" s="1"/>
  <c r="E75" i="1"/>
  <c r="F75" i="1" s="1"/>
  <c r="E74" i="1"/>
  <c r="F74" i="1" s="1"/>
  <c r="E73" i="1"/>
  <c r="F73" i="1" s="1"/>
  <c r="E72" i="1"/>
  <c r="F72" i="1" s="1"/>
  <c r="E71" i="1"/>
  <c r="F71" i="1" s="1"/>
  <c r="E70" i="1"/>
  <c r="F70" i="1" s="1"/>
  <c r="E69" i="1"/>
  <c r="F69" i="1" s="1"/>
  <c r="E68" i="1"/>
  <c r="F68" i="1" s="1"/>
  <c r="E67" i="1"/>
  <c r="E66" i="1"/>
  <c r="F66" i="1" s="1"/>
  <c r="E65" i="1"/>
  <c r="E64" i="1"/>
  <c r="E63" i="1"/>
  <c r="F63" i="1" s="1"/>
  <c r="E62" i="1"/>
  <c r="F62" i="1" s="1"/>
  <c r="E61" i="1"/>
  <c r="F61" i="1" s="1"/>
  <c r="E60" i="1"/>
  <c r="E59" i="1"/>
  <c r="F59" i="1" s="1"/>
  <c r="E58" i="1"/>
  <c r="F58" i="1" s="1"/>
  <c r="E57" i="1"/>
  <c r="F57" i="1" s="1"/>
  <c r="E56" i="1"/>
  <c r="F56" i="1" s="1"/>
  <c r="E55" i="1"/>
  <c r="F55" i="1" s="1"/>
  <c r="E54" i="1"/>
  <c r="F54" i="1" s="1"/>
  <c r="E53" i="1"/>
  <c r="F53" i="1" s="1"/>
  <c r="E52" i="1"/>
  <c r="F52" i="1" s="1"/>
  <c r="E51" i="1"/>
  <c r="F51" i="1" s="1"/>
  <c r="E50" i="1"/>
  <c r="F50" i="1" s="1"/>
  <c r="E49" i="1"/>
  <c r="F49" i="1" s="1"/>
  <c r="E48" i="1"/>
  <c r="F48" i="1" s="1"/>
  <c r="E47" i="1"/>
  <c r="F47" i="1" s="1"/>
  <c r="E46" i="1"/>
  <c r="F46" i="1" s="1"/>
  <c r="E45" i="1"/>
  <c r="F45" i="1" s="1"/>
  <c r="E44" i="1"/>
  <c r="F44" i="1" s="1"/>
  <c r="E43" i="1"/>
  <c r="F43" i="1" s="1"/>
  <c r="E42" i="1"/>
  <c r="E41" i="1"/>
  <c r="F41" i="1" s="1"/>
  <c r="E40" i="1"/>
  <c r="F40" i="1" s="1"/>
  <c r="E39" i="1"/>
  <c r="E38" i="1"/>
  <c r="E37" i="1"/>
  <c r="E36" i="1"/>
  <c r="E35" i="1"/>
  <c r="E34" i="1"/>
  <c r="F34" i="1" s="1"/>
  <c r="E33" i="1"/>
  <c r="E32" i="1"/>
  <c r="E31" i="1"/>
  <c r="F31" i="1" s="1"/>
  <c r="E30" i="1"/>
  <c r="E29" i="1"/>
  <c r="F29" i="1" s="1"/>
  <c r="E28" i="1"/>
  <c r="F28" i="1" s="1"/>
  <c r="E27" i="1"/>
  <c r="E26" i="1"/>
  <c r="F26" i="1" s="1"/>
  <c r="E25" i="1"/>
  <c r="F25" i="1" s="1"/>
  <c r="E24" i="1"/>
  <c r="E23" i="1"/>
  <c r="E22" i="1"/>
  <c r="E21" i="1"/>
  <c r="E20" i="1"/>
  <c r="E19" i="1"/>
  <c r="E18" i="1"/>
  <c r="E17" i="1"/>
  <c r="F17" i="1" s="1"/>
  <c r="E16" i="1"/>
  <c r="E15" i="1"/>
  <c r="F15" i="1" s="1"/>
  <c r="E14" i="1"/>
  <c r="F14" i="1" s="1"/>
  <c r="E13" i="1"/>
  <c r="F13" i="1" s="1"/>
  <c r="I14" i="1" l="1"/>
  <c r="O14" i="1" s="1"/>
  <c r="F18" i="1"/>
  <c r="F20" i="1"/>
  <c r="F22" i="1"/>
  <c r="F30" i="1"/>
  <c r="F32" i="1"/>
  <c r="F36" i="1"/>
  <c r="F38" i="1"/>
  <c r="F60" i="1"/>
  <c r="F86" i="1"/>
  <c r="D64" i="1"/>
  <c r="U3" i="1"/>
  <c r="C3" i="33" s="1"/>
  <c r="P3" i="1"/>
  <c r="P9" i="1"/>
  <c r="U9" i="1"/>
  <c r="C9" i="33" s="1"/>
  <c r="I11" i="1"/>
  <c r="I13" i="1"/>
  <c r="O13" i="1" s="1"/>
  <c r="I15" i="1"/>
  <c r="O15" i="1" s="1"/>
  <c r="I17" i="1"/>
  <c r="O17" i="1" s="1"/>
  <c r="F19" i="1"/>
  <c r="F21" i="1"/>
  <c r="F27" i="1"/>
  <c r="F33" i="1"/>
  <c r="F35" i="1"/>
  <c r="F39" i="1"/>
  <c r="F67" i="1"/>
  <c r="F89" i="1"/>
  <c r="F91" i="1"/>
  <c r="B16" i="1"/>
  <c r="D16" i="1"/>
  <c r="F16" i="1" s="1"/>
  <c r="D42" i="1"/>
  <c r="F42" i="1" s="1"/>
  <c r="N16" i="1"/>
  <c r="O6" i="1"/>
  <c r="P4" i="1"/>
  <c r="U4" i="1"/>
  <c r="C4" i="33" s="1"/>
  <c r="I6" i="1"/>
  <c r="I8" i="1"/>
  <c r="I10" i="1"/>
  <c r="I12" i="1"/>
  <c r="H24" i="1"/>
  <c r="I24" i="1" s="1"/>
  <c r="N26" i="1"/>
  <c r="H26" i="1"/>
  <c r="I26" i="1" s="1"/>
  <c r="N28" i="1"/>
  <c r="H28" i="1"/>
  <c r="N30" i="1"/>
  <c r="H30" i="1"/>
  <c r="N32" i="1"/>
  <c r="H32" i="1"/>
  <c r="N34" i="1"/>
  <c r="H34" i="1"/>
  <c r="I34" i="1" s="1"/>
  <c r="N36" i="1"/>
  <c r="H36" i="1"/>
  <c r="N38" i="1"/>
  <c r="H38" i="1"/>
  <c r="N40" i="1"/>
  <c r="H40" i="1"/>
  <c r="I40" i="1" s="1"/>
  <c r="N42" i="1"/>
  <c r="H42" i="1"/>
  <c r="N44" i="1"/>
  <c r="H44" i="1"/>
  <c r="I44" i="1" s="1"/>
  <c r="N46" i="1"/>
  <c r="H46" i="1"/>
  <c r="I46" i="1" s="1"/>
  <c r="N48" i="1"/>
  <c r="H48" i="1"/>
  <c r="I48" i="1" s="1"/>
  <c r="N50" i="1"/>
  <c r="H50" i="1"/>
  <c r="N52" i="1"/>
  <c r="H52" i="1"/>
  <c r="I52" i="1" s="1"/>
  <c r="N54" i="1"/>
  <c r="H54" i="1"/>
  <c r="I54" i="1" s="1"/>
  <c r="N56" i="1"/>
  <c r="H56" i="1"/>
  <c r="I56" i="1" s="1"/>
  <c r="N58" i="1"/>
  <c r="H58" i="1"/>
  <c r="I58" i="1" s="1"/>
  <c r="N60" i="1"/>
  <c r="H60" i="1"/>
  <c r="N62" i="1"/>
  <c r="H62" i="1"/>
  <c r="I62" i="1" s="1"/>
  <c r="H64" i="1"/>
  <c r="I64" i="1" s="1"/>
  <c r="N66" i="1"/>
  <c r="H66" i="1"/>
  <c r="I66" i="1" s="1"/>
  <c r="N68" i="1"/>
  <c r="H68" i="1"/>
  <c r="I68" i="1" s="1"/>
  <c r="N70" i="1"/>
  <c r="H70" i="1"/>
  <c r="N72" i="1"/>
  <c r="H72" i="1"/>
  <c r="I72" i="1" s="1"/>
  <c r="N74" i="1"/>
  <c r="H74" i="1"/>
  <c r="I74" i="1" s="1"/>
  <c r="N76" i="1"/>
  <c r="H76" i="1"/>
  <c r="I76" i="1" s="1"/>
  <c r="N78" i="1"/>
  <c r="H78" i="1"/>
  <c r="I78" i="1" s="1"/>
  <c r="N80" i="1"/>
  <c r="H80" i="1"/>
  <c r="I80" i="1" s="1"/>
  <c r="N82" i="1"/>
  <c r="H82" i="1"/>
  <c r="I82" i="1" s="1"/>
  <c r="N84" i="1"/>
  <c r="H84" i="1"/>
  <c r="I84" i="1" s="1"/>
  <c r="N86" i="1"/>
  <c r="H86" i="1"/>
  <c r="N88" i="1"/>
  <c r="H88" i="1"/>
  <c r="I88" i="1" s="1"/>
  <c r="N90" i="1"/>
  <c r="H90" i="1"/>
  <c r="I90" i="1" s="1"/>
  <c r="O90" i="1" s="1"/>
  <c r="C92" i="1"/>
  <c r="H92" i="1"/>
  <c r="C94" i="1"/>
  <c r="H94" i="1"/>
  <c r="N6" i="1"/>
  <c r="X79" i="32"/>
  <c r="X93" i="32"/>
  <c r="I28" i="1"/>
  <c r="I50" i="1"/>
  <c r="I70" i="1"/>
  <c r="AJ8" i="7"/>
  <c r="H7" i="1"/>
  <c r="I7" i="1" s="1"/>
  <c r="O23" i="1"/>
  <c r="H23" i="1"/>
  <c r="I23" i="1" s="1"/>
  <c r="N25" i="1"/>
  <c r="H25" i="1"/>
  <c r="I25" i="1" s="1"/>
  <c r="N27" i="1"/>
  <c r="H27" i="1"/>
  <c r="N29" i="1"/>
  <c r="H29" i="1"/>
  <c r="I29" i="1" s="1"/>
  <c r="N31" i="1"/>
  <c r="H31" i="1"/>
  <c r="I31" i="1" s="1"/>
  <c r="N33" i="1"/>
  <c r="H33" i="1"/>
  <c r="N35" i="1"/>
  <c r="H35" i="1"/>
  <c r="O37" i="1"/>
  <c r="H37" i="1"/>
  <c r="I37" i="1" s="1"/>
  <c r="N39" i="1"/>
  <c r="H39" i="1"/>
  <c r="N41" i="1"/>
  <c r="H41" i="1"/>
  <c r="I41" i="1" s="1"/>
  <c r="N43" i="1"/>
  <c r="H43" i="1"/>
  <c r="I43" i="1" s="1"/>
  <c r="N45" i="1"/>
  <c r="H45" i="1"/>
  <c r="I45" i="1" s="1"/>
  <c r="N47" i="1"/>
  <c r="H47" i="1"/>
  <c r="I47" i="1" s="1"/>
  <c r="N49" i="1"/>
  <c r="H49" i="1"/>
  <c r="I49" i="1" s="1"/>
  <c r="N51" i="1"/>
  <c r="H51" i="1"/>
  <c r="I51" i="1" s="1"/>
  <c r="N53" i="1"/>
  <c r="H53" i="1"/>
  <c r="I53" i="1" s="1"/>
  <c r="N55" i="1"/>
  <c r="H55" i="1"/>
  <c r="I55" i="1" s="1"/>
  <c r="N57" i="1"/>
  <c r="H57" i="1"/>
  <c r="I57" i="1" s="1"/>
  <c r="N59" i="1"/>
  <c r="H59" i="1"/>
  <c r="I59" i="1" s="1"/>
  <c r="N61" i="1"/>
  <c r="H61" i="1"/>
  <c r="I61" i="1" s="1"/>
  <c r="N63" i="1"/>
  <c r="H63" i="1"/>
  <c r="I63" i="1" s="1"/>
  <c r="H65" i="1"/>
  <c r="I65" i="1" s="1"/>
  <c r="O65" i="1" s="1"/>
  <c r="N67" i="1"/>
  <c r="H67" i="1"/>
  <c r="N69" i="1"/>
  <c r="H69" i="1"/>
  <c r="I69" i="1" s="1"/>
  <c r="N71" i="1"/>
  <c r="H71" i="1"/>
  <c r="I71" i="1" s="1"/>
  <c r="O71" i="1" s="1"/>
  <c r="N73" i="1"/>
  <c r="H73" i="1"/>
  <c r="I73" i="1" s="1"/>
  <c r="O73" i="1" s="1"/>
  <c r="N75" i="1"/>
  <c r="H75" i="1"/>
  <c r="I75" i="1" s="1"/>
  <c r="O75" i="1" s="1"/>
  <c r="N77" i="1"/>
  <c r="H77" i="1"/>
  <c r="I77" i="1" s="1"/>
  <c r="O77" i="1" s="1"/>
  <c r="N79" i="1"/>
  <c r="H79" i="1"/>
  <c r="I79" i="1" s="1"/>
  <c r="O79" i="1" s="1"/>
  <c r="N81" i="1"/>
  <c r="H81" i="1"/>
  <c r="I81" i="1" s="1"/>
  <c r="O81" i="1" s="1"/>
  <c r="N83" i="1"/>
  <c r="H83" i="1"/>
  <c r="I83" i="1" s="1"/>
  <c r="O83" i="1" s="1"/>
  <c r="N85" i="1"/>
  <c r="H85" i="1"/>
  <c r="I85" i="1" s="1"/>
  <c r="O85" i="1" s="1"/>
  <c r="N87" i="1"/>
  <c r="H87" i="1"/>
  <c r="I87" i="1" s="1"/>
  <c r="O87" i="1" s="1"/>
  <c r="N89" i="1"/>
  <c r="H89" i="1"/>
  <c r="N91" i="1"/>
  <c r="H91" i="1"/>
  <c r="C93" i="1"/>
  <c r="H93" i="1"/>
  <c r="C95" i="1"/>
  <c r="H95" i="1"/>
  <c r="N5" i="1"/>
  <c r="AC77" i="25"/>
  <c r="W74" i="32"/>
  <c r="AC74" i="32" s="1"/>
  <c r="N24" i="1"/>
  <c r="E5" i="1"/>
  <c r="O3" i="1"/>
  <c r="N3" i="1"/>
  <c r="N7" i="1"/>
  <c r="O9" i="1"/>
  <c r="N9" i="1"/>
  <c r="O11" i="1"/>
  <c r="N11" i="1"/>
  <c r="O4" i="1"/>
  <c r="N4" i="1"/>
  <c r="N8" i="1"/>
  <c r="O10" i="1"/>
  <c r="N10" i="1"/>
  <c r="N12" i="1"/>
  <c r="N23" i="1"/>
  <c r="N37" i="1"/>
  <c r="N65" i="1"/>
  <c r="N64" i="1"/>
  <c r="G79" i="25"/>
  <c r="I78" i="25"/>
  <c r="S96" i="19"/>
  <c r="S95" i="19"/>
  <c r="S94" i="19"/>
  <c r="S93" i="19"/>
  <c r="S92" i="19"/>
  <c r="S91" i="19"/>
  <c r="S90" i="19"/>
  <c r="S89" i="19"/>
  <c r="S88" i="19"/>
  <c r="S87" i="19"/>
  <c r="S86" i="19"/>
  <c r="S85" i="19"/>
  <c r="S84" i="19"/>
  <c r="S83" i="19"/>
  <c r="S82" i="19"/>
  <c r="S81" i="19"/>
  <c r="S80" i="19"/>
  <c r="S79" i="19"/>
  <c r="S78" i="19"/>
  <c r="S77" i="19"/>
  <c r="S76" i="19"/>
  <c r="S75" i="19"/>
  <c r="S74" i="19"/>
  <c r="S73" i="19"/>
  <c r="S72" i="19"/>
  <c r="S71" i="19"/>
  <c r="S70" i="19"/>
  <c r="S69" i="19"/>
  <c r="S68" i="19"/>
  <c r="S67" i="19"/>
  <c r="S66" i="19"/>
  <c r="S65" i="19"/>
  <c r="S64" i="19"/>
  <c r="S63" i="19"/>
  <c r="S62" i="19"/>
  <c r="S61" i="19"/>
  <c r="S60" i="19"/>
  <c r="S59" i="19"/>
  <c r="S58" i="19"/>
  <c r="S57" i="19"/>
  <c r="S56" i="19"/>
  <c r="S55" i="19"/>
  <c r="S54" i="19"/>
  <c r="S53" i="19"/>
  <c r="S52" i="19"/>
  <c r="S51" i="19"/>
  <c r="S50" i="19"/>
  <c r="S49" i="19"/>
  <c r="S48" i="19"/>
  <c r="S47" i="19"/>
  <c r="S46" i="19"/>
  <c r="S45" i="19"/>
  <c r="S44" i="19"/>
  <c r="S43" i="19"/>
  <c r="S42" i="19"/>
  <c r="S41" i="19"/>
  <c r="S40" i="19"/>
  <c r="S39" i="19"/>
  <c r="S38" i="19"/>
  <c r="S37" i="19"/>
  <c r="S36" i="19"/>
  <c r="S35" i="19"/>
  <c r="S34" i="19"/>
  <c r="S33" i="19"/>
  <c r="S32" i="19"/>
  <c r="S31" i="19"/>
  <c r="S30" i="19"/>
  <c r="S29" i="19"/>
  <c r="S28" i="19"/>
  <c r="S27" i="19"/>
  <c r="S26" i="19"/>
  <c r="S25" i="19"/>
  <c r="S24" i="19"/>
  <c r="S23" i="19"/>
  <c r="S22" i="19"/>
  <c r="S21" i="19"/>
  <c r="S20" i="19"/>
  <c r="S19" i="19"/>
  <c r="S18" i="19"/>
  <c r="S17" i="19"/>
  <c r="S16" i="19"/>
  <c r="S15" i="19"/>
  <c r="S14" i="19"/>
  <c r="S13" i="19"/>
  <c r="S12" i="19"/>
  <c r="S11" i="19"/>
  <c r="S10" i="19"/>
  <c r="S9" i="19"/>
  <c r="S8" i="19"/>
  <c r="S7" i="19"/>
  <c r="S6" i="19"/>
  <c r="S5" i="19"/>
  <c r="T97" i="25"/>
  <c r="T96" i="25"/>
  <c r="T95" i="25"/>
  <c r="T94" i="25"/>
  <c r="T93" i="25"/>
  <c r="T92" i="25"/>
  <c r="T91" i="25"/>
  <c r="T90" i="25"/>
  <c r="T89" i="25"/>
  <c r="T88" i="25"/>
  <c r="T87" i="25"/>
  <c r="T86" i="25"/>
  <c r="T85" i="25"/>
  <c r="T84" i="25"/>
  <c r="T83" i="25"/>
  <c r="T82" i="25"/>
  <c r="T81" i="25"/>
  <c r="T80" i="25"/>
  <c r="T79" i="25"/>
  <c r="T78" i="25"/>
  <c r="T77" i="25"/>
  <c r="T76" i="25"/>
  <c r="T75" i="25"/>
  <c r="T74" i="25"/>
  <c r="T73" i="25"/>
  <c r="T72" i="25"/>
  <c r="T71" i="25"/>
  <c r="T70" i="25"/>
  <c r="T69" i="25"/>
  <c r="T68" i="25"/>
  <c r="T67" i="25"/>
  <c r="T66" i="25"/>
  <c r="T65" i="25"/>
  <c r="T64" i="25"/>
  <c r="T63" i="25"/>
  <c r="T62" i="25"/>
  <c r="T61" i="25"/>
  <c r="T60" i="25"/>
  <c r="T59" i="25"/>
  <c r="T58" i="25"/>
  <c r="T57" i="25"/>
  <c r="T56" i="25"/>
  <c r="T55" i="25"/>
  <c r="T54" i="25"/>
  <c r="T53" i="25"/>
  <c r="T52" i="25"/>
  <c r="T51" i="25"/>
  <c r="T50" i="25"/>
  <c r="T49" i="25"/>
  <c r="T48" i="25"/>
  <c r="T47" i="25"/>
  <c r="T46" i="25"/>
  <c r="T45" i="25"/>
  <c r="T44" i="25"/>
  <c r="T43" i="25"/>
  <c r="T42" i="25"/>
  <c r="T41" i="25"/>
  <c r="T40" i="25"/>
  <c r="T39" i="25"/>
  <c r="T38" i="25"/>
  <c r="T37" i="25"/>
  <c r="T36" i="25"/>
  <c r="T35" i="25"/>
  <c r="T34" i="25"/>
  <c r="T33" i="25"/>
  <c r="T32" i="25"/>
  <c r="T31" i="25"/>
  <c r="T30" i="25"/>
  <c r="T29" i="25"/>
  <c r="T28" i="25"/>
  <c r="T27" i="25"/>
  <c r="T26" i="25"/>
  <c r="T25" i="25"/>
  <c r="T24" i="25"/>
  <c r="T23" i="25"/>
  <c r="T22" i="25"/>
  <c r="T21" i="25"/>
  <c r="T20" i="25"/>
  <c r="T19" i="25"/>
  <c r="T18" i="25"/>
  <c r="T17" i="25"/>
  <c r="T16" i="25"/>
  <c r="T15" i="25"/>
  <c r="T14" i="25"/>
  <c r="T13" i="25"/>
  <c r="T12" i="25"/>
  <c r="T11" i="25"/>
  <c r="T10" i="25"/>
  <c r="T9" i="25"/>
  <c r="T8" i="25"/>
  <c r="T7" i="25"/>
  <c r="T6" i="25"/>
  <c r="T5" i="25"/>
  <c r="T4" i="25"/>
  <c r="T3" i="25"/>
  <c r="F84" i="7"/>
  <c r="E84" i="7"/>
  <c r="D84" i="7"/>
  <c r="C84" i="7"/>
  <c r="B84" i="7"/>
  <c r="AD87" i="7"/>
  <c r="AD82" i="7"/>
  <c r="AD77" i="7"/>
  <c r="AD72" i="7"/>
  <c r="AD67" i="7"/>
  <c r="AD62" i="7"/>
  <c r="AD57" i="7"/>
  <c r="AD52" i="7"/>
  <c r="AD47" i="7"/>
  <c r="AD42" i="7"/>
  <c r="AD37" i="7"/>
  <c r="AD32" i="7"/>
  <c r="AD27" i="7"/>
  <c r="AD22" i="7"/>
  <c r="AD17" i="7"/>
  <c r="AD18" i="7" s="1"/>
  <c r="AD19" i="7" s="1"/>
  <c r="AD20" i="7" s="1"/>
  <c r="AD21" i="7" s="1"/>
  <c r="AD16" i="7"/>
  <c r="AD15" i="7"/>
  <c r="AD14" i="7"/>
  <c r="AD13" i="7"/>
  <c r="AD12" i="7"/>
  <c r="AD11" i="7"/>
  <c r="AD10" i="7"/>
  <c r="AD9" i="7"/>
  <c r="AD8" i="7"/>
  <c r="AD7" i="7"/>
  <c r="AD6" i="7"/>
  <c r="AD5" i="7"/>
  <c r="AD4" i="7"/>
  <c r="S4" i="19"/>
  <c r="S98" i="7"/>
  <c r="T98" i="7" s="1"/>
  <c r="M6" i="7"/>
  <c r="AJ6" i="7" s="1"/>
  <c r="M7" i="7"/>
  <c r="AJ7" i="7" s="1"/>
  <c r="AD23" i="7" l="1"/>
  <c r="AD24" i="7" s="1"/>
  <c r="AD25" i="7" s="1"/>
  <c r="AD26" i="7" s="1"/>
  <c r="AD28" i="7" s="1"/>
  <c r="AD29" i="7" s="1"/>
  <c r="AD30" i="7" s="1"/>
  <c r="AD31" i="7" s="1"/>
  <c r="P88" i="1"/>
  <c r="U88" i="1"/>
  <c r="C88" i="33" s="1"/>
  <c r="O88" i="1"/>
  <c r="U82" i="1"/>
  <c r="C82" i="33" s="1"/>
  <c r="O82" i="1"/>
  <c r="P80" i="1"/>
  <c r="U80" i="1"/>
  <c r="C80" i="33" s="1"/>
  <c r="O80" i="1"/>
  <c r="U78" i="1"/>
  <c r="C78" i="33" s="1"/>
  <c r="O78" i="1"/>
  <c r="P76" i="1"/>
  <c r="U76" i="1"/>
  <c r="C76" i="33" s="1"/>
  <c r="O76" i="1"/>
  <c r="U72" i="1"/>
  <c r="C72" i="33" s="1"/>
  <c r="O72" i="1"/>
  <c r="O63" i="1"/>
  <c r="O61" i="1"/>
  <c r="O59" i="1"/>
  <c r="O57" i="1"/>
  <c r="O55" i="1"/>
  <c r="O53" i="1"/>
  <c r="O51" i="1"/>
  <c r="O49" i="1"/>
  <c r="O47" i="1"/>
  <c r="O45" i="1"/>
  <c r="O43" i="1"/>
  <c r="O41" i="1"/>
  <c r="O25" i="1"/>
  <c r="O7" i="1"/>
  <c r="O62" i="1"/>
  <c r="O58" i="1"/>
  <c r="O56" i="1"/>
  <c r="O54" i="1"/>
  <c r="O52" i="1"/>
  <c r="O48" i="1"/>
  <c r="O46" i="1"/>
  <c r="O44" i="1"/>
  <c r="O40" i="1"/>
  <c r="O34" i="1"/>
  <c r="O26" i="1"/>
  <c r="O16" i="1"/>
  <c r="I16" i="1"/>
  <c r="P84" i="1"/>
  <c r="U84" i="1"/>
  <c r="C84" i="33" s="1"/>
  <c r="O84" i="1"/>
  <c r="U74" i="1"/>
  <c r="C74" i="33" s="1"/>
  <c r="O74" i="1"/>
  <c r="O68" i="1"/>
  <c r="O66" i="1"/>
  <c r="O64" i="1"/>
  <c r="O42" i="1"/>
  <c r="I42" i="1"/>
  <c r="S7" i="7"/>
  <c r="T7" i="7" s="1"/>
  <c r="AC78" i="25"/>
  <c r="W75" i="32"/>
  <c r="AC75" i="32" s="1"/>
  <c r="F5" i="1"/>
  <c r="S5" i="1"/>
  <c r="N95" i="1"/>
  <c r="I95" i="1"/>
  <c r="N93" i="1"/>
  <c r="I93" i="1"/>
  <c r="U70" i="1"/>
  <c r="C70" i="33" s="1"/>
  <c r="P70" i="1"/>
  <c r="U50" i="1"/>
  <c r="C50" i="33" s="1"/>
  <c r="P50" i="1"/>
  <c r="P28" i="1"/>
  <c r="U28" i="1"/>
  <c r="C28" i="33" s="1"/>
  <c r="S6" i="7"/>
  <c r="T6" i="7" s="1"/>
  <c r="O12" i="1"/>
  <c r="O8" i="1"/>
  <c r="U65" i="1"/>
  <c r="C65" i="33" s="1"/>
  <c r="P65" i="1"/>
  <c r="P37" i="1"/>
  <c r="U37" i="1"/>
  <c r="C37" i="33" s="1"/>
  <c r="P23" i="1"/>
  <c r="U23" i="1"/>
  <c r="C23" i="33" s="1"/>
  <c r="O70" i="1"/>
  <c r="O50" i="1"/>
  <c r="O28" i="1"/>
  <c r="N94" i="1"/>
  <c r="I94" i="1"/>
  <c r="N92" i="1"/>
  <c r="I92" i="1"/>
  <c r="O24" i="1"/>
  <c r="P10" i="1"/>
  <c r="U10" i="1"/>
  <c r="C10" i="33" s="1"/>
  <c r="P6" i="1"/>
  <c r="U6" i="1"/>
  <c r="C6" i="33" s="1"/>
  <c r="I89" i="1"/>
  <c r="O69" i="1"/>
  <c r="O39" i="1"/>
  <c r="I39" i="1"/>
  <c r="O33" i="1"/>
  <c r="I33" i="1"/>
  <c r="O31" i="1"/>
  <c r="O29" i="1"/>
  <c r="O21" i="1"/>
  <c r="I21" i="1"/>
  <c r="P17" i="1"/>
  <c r="U17" i="1"/>
  <c r="C17" i="33" s="1"/>
  <c r="P15" i="1"/>
  <c r="U15" i="1"/>
  <c r="C15" i="33" s="1"/>
  <c r="P13" i="1"/>
  <c r="U13" i="1"/>
  <c r="C13" i="33" s="1"/>
  <c r="P11" i="1"/>
  <c r="U11" i="1"/>
  <c r="C11" i="33" s="1"/>
  <c r="O60" i="1"/>
  <c r="I60" i="1"/>
  <c r="O38" i="1"/>
  <c r="I38" i="1"/>
  <c r="O32" i="1"/>
  <c r="I32" i="1"/>
  <c r="O22" i="1"/>
  <c r="I22" i="1"/>
  <c r="O18" i="1"/>
  <c r="I18" i="1"/>
  <c r="P14" i="1"/>
  <c r="U14" i="1"/>
  <c r="C14" i="33" s="1"/>
  <c r="P90" i="1"/>
  <c r="U90" i="1"/>
  <c r="C90" i="33" s="1"/>
  <c r="P24" i="1"/>
  <c r="U24" i="1"/>
  <c r="C24" i="33" s="1"/>
  <c r="P12" i="1"/>
  <c r="U12" i="1"/>
  <c r="C12" i="33" s="1"/>
  <c r="P8" i="1"/>
  <c r="U8" i="1"/>
  <c r="C8" i="33" s="1"/>
  <c r="O91" i="1"/>
  <c r="I91" i="1"/>
  <c r="P87" i="1"/>
  <c r="U87" i="1"/>
  <c r="C87" i="33" s="1"/>
  <c r="P85" i="1"/>
  <c r="U85" i="1"/>
  <c r="C85" i="33" s="1"/>
  <c r="P83" i="1"/>
  <c r="U83" i="1"/>
  <c r="C83" i="33" s="1"/>
  <c r="P81" i="1"/>
  <c r="U81" i="1"/>
  <c r="C81" i="33" s="1"/>
  <c r="P79" i="1"/>
  <c r="U79" i="1"/>
  <c r="C79" i="33" s="1"/>
  <c r="P77" i="1"/>
  <c r="U77" i="1"/>
  <c r="C77" i="33" s="1"/>
  <c r="P75" i="1"/>
  <c r="U75" i="1"/>
  <c r="C75" i="33" s="1"/>
  <c r="P73" i="1"/>
  <c r="U73" i="1"/>
  <c r="C73" i="33" s="1"/>
  <c r="P71" i="1"/>
  <c r="U71" i="1"/>
  <c r="C71" i="33" s="1"/>
  <c r="U69" i="1"/>
  <c r="C69" i="33" s="1"/>
  <c r="P69" i="1"/>
  <c r="O67" i="1"/>
  <c r="I67" i="1"/>
  <c r="O35" i="1"/>
  <c r="I35" i="1"/>
  <c r="P31" i="1"/>
  <c r="U31" i="1"/>
  <c r="C31" i="33" s="1"/>
  <c r="P29" i="1"/>
  <c r="U29" i="1"/>
  <c r="C29" i="33" s="1"/>
  <c r="O27" i="1"/>
  <c r="I27" i="1"/>
  <c r="O19" i="1"/>
  <c r="I19" i="1"/>
  <c r="O86" i="1"/>
  <c r="I86" i="1"/>
  <c r="O36" i="1"/>
  <c r="I36" i="1"/>
  <c r="O30" i="1"/>
  <c r="I30" i="1"/>
  <c r="O20" i="1"/>
  <c r="I20" i="1"/>
  <c r="G80" i="25"/>
  <c r="I79" i="25"/>
  <c r="AD33" i="7"/>
  <c r="AD34" i="7" s="1"/>
  <c r="AD35" i="7" s="1"/>
  <c r="AD36" i="7" s="1"/>
  <c r="AD38" i="7" s="1"/>
  <c r="AD39" i="7" s="1"/>
  <c r="AD40" i="7" s="1"/>
  <c r="AD41" i="7" s="1"/>
  <c r="AD43" i="7" s="1"/>
  <c r="AD44" i="7" s="1"/>
  <c r="AD45" i="7" s="1"/>
  <c r="AD46" i="7" s="1"/>
  <c r="AD48" i="7" s="1"/>
  <c r="AD49" i="7" s="1"/>
  <c r="AD50" i="7" s="1"/>
  <c r="AD51" i="7" s="1"/>
  <c r="AD53" i="7" s="1"/>
  <c r="AD54" i="7" s="1"/>
  <c r="AD55" i="7" s="1"/>
  <c r="AD56" i="7" s="1"/>
  <c r="AD58" i="7" s="1"/>
  <c r="AD59" i="7" s="1"/>
  <c r="AD60" i="7" s="1"/>
  <c r="AD61" i="7" s="1"/>
  <c r="AD63" i="7" s="1"/>
  <c r="AD64" i="7" s="1"/>
  <c r="AD65" i="7" s="1"/>
  <c r="AD66" i="7" s="1"/>
  <c r="AD68" i="7" s="1"/>
  <c r="AD69" i="7" s="1"/>
  <c r="AD70" i="7" s="1"/>
  <c r="AD71" i="7" s="1"/>
  <c r="AD73" i="7" s="1"/>
  <c r="AD74" i="7" s="1"/>
  <c r="AD75" i="7" s="1"/>
  <c r="AD76" i="7" s="1"/>
  <c r="AD78" i="7" s="1"/>
  <c r="AD79" i="7" s="1"/>
  <c r="AD80" i="7" s="1"/>
  <c r="AD81" i="7" s="1"/>
  <c r="AD83" i="7" s="1"/>
  <c r="AD84" i="7" s="1"/>
  <c r="AD85" i="7" s="1"/>
  <c r="AD86" i="7" s="1"/>
  <c r="AD88" i="7" s="1"/>
  <c r="AD89" i="7" s="1"/>
  <c r="AD90" i="7" s="1"/>
  <c r="AD91" i="7" s="1"/>
  <c r="AD92" i="7" s="1"/>
  <c r="AD93" i="7" s="1"/>
  <c r="AD94" i="7" s="1"/>
  <c r="AD95" i="7" s="1"/>
  <c r="AD96" i="7" s="1"/>
  <c r="AD97" i="7" s="1"/>
  <c r="AD98" i="7" s="1"/>
  <c r="P89" i="1" l="1"/>
  <c r="U89" i="1"/>
  <c r="C89" i="33" s="1"/>
  <c r="O93" i="1"/>
  <c r="O95" i="1"/>
  <c r="P64" i="1"/>
  <c r="U64" i="1"/>
  <c r="C64" i="33" s="1"/>
  <c r="U66" i="1"/>
  <c r="C66" i="33" s="1"/>
  <c r="P66" i="1"/>
  <c r="U68" i="1"/>
  <c r="C68" i="33" s="1"/>
  <c r="P68" i="1"/>
  <c r="AC79" i="25"/>
  <c r="W76" i="32"/>
  <c r="AC76" i="32" s="1"/>
  <c r="P20" i="1"/>
  <c r="U20" i="1"/>
  <c r="C20" i="33" s="1"/>
  <c r="P30" i="1"/>
  <c r="U30" i="1"/>
  <c r="C30" i="33" s="1"/>
  <c r="P36" i="1"/>
  <c r="U36" i="1"/>
  <c r="C36" i="33" s="1"/>
  <c r="P86" i="1"/>
  <c r="U86" i="1"/>
  <c r="C86" i="33" s="1"/>
  <c r="P19" i="1"/>
  <c r="U19" i="1"/>
  <c r="C19" i="33" s="1"/>
  <c r="P27" i="1"/>
  <c r="U27" i="1"/>
  <c r="C27" i="33" s="1"/>
  <c r="P35" i="1"/>
  <c r="U35" i="1"/>
  <c r="C35" i="33" s="1"/>
  <c r="P67" i="1"/>
  <c r="U67" i="1"/>
  <c r="C67" i="33" s="1"/>
  <c r="P91" i="1"/>
  <c r="U91" i="1"/>
  <c r="C91" i="33" s="1"/>
  <c r="P18" i="1"/>
  <c r="U18" i="1"/>
  <c r="C18" i="33" s="1"/>
  <c r="P22" i="1"/>
  <c r="U22" i="1"/>
  <c r="C22" i="33" s="1"/>
  <c r="P32" i="1"/>
  <c r="U32" i="1"/>
  <c r="C32" i="33" s="1"/>
  <c r="P38" i="1"/>
  <c r="U38" i="1"/>
  <c r="C38" i="33" s="1"/>
  <c r="U60" i="1"/>
  <c r="C60" i="33" s="1"/>
  <c r="P60" i="1"/>
  <c r="P21" i="1"/>
  <c r="U21" i="1"/>
  <c r="C21" i="33" s="1"/>
  <c r="P33" i="1"/>
  <c r="U33" i="1"/>
  <c r="C33" i="33" s="1"/>
  <c r="P39" i="1"/>
  <c r="U39" i="1"/>
  <c r="C39" i="33" s="1"/>
  <c r="O89" i="1"/>
  <c r="O92" i="1"/>
  <c r="O94" i="1"/>
  <c r="I5" i="1"/>
  <c r="P5" i="1" s="1"/>
  <c r="P42" i="1"/>
  <c r="U42" i="1"/>
  <c r="C42" i="33" s="1"/>
  <c r="P74" i="1"/>
  <c r="P16" i="1"/>
  <c r="U16" i="1"/>
  <c r="C16" i="33" s="1"/>
  <c r="P72" i="1"/>
  <c r="P78" i="1"/>
  <c r="P82" i="1"/>
  <c r="P26" i="1"/>
  <c r="U26" i="1"/>
  <c r="C26" i="33" s="1"/>
  <c r="P34" i="1"/>
  <c r="U34" i="1"/>
  <c r="C34" i="33" s="1"/>
  <c r="P40" i="1"/>
  <c r="U40" i="1"/>
  <c r="C40" i="33" s="1"/>
  <c r="P44" i="1"/>
  <c r="U44" i="1"/>
  <c r="C44" i="33" s="1"/>
  <c r="P46" i="1"/>
  <c r="U46" i="1"/>
  <c r="C46" i="33" s="1"/>
  <c r="P48" i="1"/>
  <c r="U48" i="1"/>
  <c r="C48" i="33" s="1"/>
  <c r="U52" i="1"/>
  <c r="C52" i="33" s="1"/>
  <c r="P52" i="1"/>
  <c r="U54" i="1"/>
  <c r="C54" i="33" s="1"/>
  <c r="P54" i="1"/>
  <c r="P56" i="1"/>
  <c r="U56" i="1"/>
  <c r="C56" i="33" s="1"/>
  <c r="U58" i="1"/>
  <c r="C58" i="33" s="1"/>
  <c r="P58" i="1"/>
  <c r="U62" i="1"/>
  <c r="C62" i="33" s="1"/>
  <c r="P62" i="1"/>
  <c r="P7" i="1"/>
  <c r="U7" i="1"/>
  <c r="C7" i="33" s="1"/>
  <c r="P25" i="1"/>
  <c r="U25" i="1"/>
  <c r="C25" i="33" s="1"/>
  <c r="P41" i="1"/>
  <c r="U41" i="1"/>
  <c r="C41" i="33" s="1"/>
  <c r="P43" i="1"/>
  <c r="U43" i="1"/>
  <c r="C43" i="33" s="1"/>
  <c r="P45" i="1"/>
  <c r="U45" i="1"/>
  <c r="C45" i="33" s="1"/>
  <c r="P47" i="1"/>
  <c r="U47" i="1"/>
  <c r="C47" i="33" s="1"/>
  <c r="P49" i="1"/>
  <c r="U49" i="1"/>
  <c r="C49" i="33" s="1"/>
  <c r="P51" i="1"/>
  <c r="U51" i="1"/>
  <c r="C51" i="33" s="1"/>
  <c r="U53" i="1"/>
  <c r="C53" i="33" s="1"/>
  <c r="P53" i="1"/>
  <c r="P55" i="1"/>
  <c r="U55" i="1"/>
  <c r="C55" i="33" s="1"/>
  <c r="U57" i="1"/>
  <c r="C57" i="33" s="1"/>
  <c r="P57" i="1"/>
  <c r="P59" i="1"/>
  <c r="U59" i="1"/>
  <c r="C59" i="33" s="1"/>
  <c r="U61" i="1"/>
  <c r="C61" i="33" s="1"/>
  <c r="P61" i="1"/>
  <c r="P63" i="1"/>
  <c r="U63" i="1"/>
  <c r="C63" i="33" s="1"/>
  <c r="G81" i="25"/>
  <c r="I80" i="25"/>
  <c r="L82" i="25"/>
  <c r="N82" i="25" s="1"/>
  <c r="K82" i="25"/>
  <c r="M82" i="25" s="1"/>
  <c r="L92" i="25"/>
  <c r="N92" i="25" s="1"/>
  <c r="K92" i="25"/>
  <c r="M92" i="25" s="1"/>
  <c r="L83" i="25"/>
  <c r="N83" i="25" s="1"/>
  <c r="K83" i="25"/>
  <c r="M83" i="25" s="1"/>
  <c r="AC80" i="25" l="1"/>
  <c r="W77" i="32"/>
  <c r="AC77" i="32" s="1"/>
  <c r="U5" i="1"/>
  <c r="C5" i="33" s="1"/>
  <c r="O5" i="1"/>
  <c r="U94" i="1"/>
  <c r="C94" i="33" s="1"/>
  <c r="P94" i="1"/>
  <c r="P92" i="1"/>
  <c r="U92" i="1"/>
  <c r="C92" i="33" s="1"/>
  <c r="P95" i="1"/>
  <c r="U95" i="1"/>
  <c r="C95" i="33" s="1"/>
  <c r="U93" i="1"/>
  <c r="C93" i="33" s="1"/>
  <c r="P93" i="1"/>
  <c r="O82" i="25"/>
  <c r="P82" i="25" s="1"/>
  <c r="O92" i="25"/>
  <c r="P92" i="25" s="1"/>
  <c r="G82" i="25"/>
  <c r="I81" i="25"/>
  <c r="O83" i="25"/>
  <c r="P83" i="25" s="1"/>
  <c r="T98" i="19"/>
  <c r="T97" i="19"/>
  <c r="T96" i="19"/>
  <c r="T95" i="19"/>
  <c r="T94" i="19"/>
  <c r="T93" i="19"/>
  <c r="T92" i="19"/>
  <c r="T91" i="19"/>
  <c r="T90" i="19"/>
  <c r="T89" i="19"/>
  <c r="T88" i="19"/>
  <c r="T87" i="19"/>
  <c r="T86" i="19"/>
  <c r="T85" i="19"/>
  <c r="T84" i="19"/>
  <c r="T83" i="19"/>
  <c r="T82" i="19"/>
  <c r="T81" i="19"/>
  <c r="T80" i="19"/>
  <c r="T79" i="19"/>
  <c r="T78" i="19"/>
  <c r="T77" i="19"/>
  <c r="T76" i="19"/>
  <c r="T75" i="19"/>
  <c r="T74" i="19"/>
  <c r="T73" i="19"/>
  <c r="T72" i="19"/>
  <c r="T71" i="19"/>
  <c r="T70" i="19"/>
  <c r="T69" i="19"/>
  <c r="T68" i="19"/>
  <c r="T67" i="19"/>
  <c r="T66" i="19"/>
  <c r="T65" i="19"/>
  <c r="T64" i="19"/>
  <c r="T63" i="19"/>
  <c r="T62" i="19"/>
  <c r="T61" i="19"/>
  <c r="T60" i="19"/>
  <c r="T59" i="19"/>
  <c r="T58" i="19"/>
  <c r="T57" i="19"/>
  <c r="T56" i="19"/>
  <c r="T55" i="19"/>
  <c r="T54" i="19"/>
  <c r="T53" i="19"/>
  <c r="T52" i="19"/>
  <c r="T51" i="19"/>
  <c r="T50" i="19"/>
  <c r="T49" i="19"/>
  <c r="T48" i="19"/>
  <c r="T47" i="19"/>
  <c r="T46" i="19"/>
  <c r="T45" i="19"/>
  <c r="T44" i="19"/>
  <c r="T43" i="19"/>
  <c r="T42" i="19"/>
  <c r="T41" i="19"/>
  <c r="T40" i="19"/>
  <c r="T39" i="19"/>
  <c r="T38" i="19"/>
  <c r="T37" i="19"/>
  <c r="T36" i="19"/>
  <c r="T35" i="19"/>
  <c r="T34" i="19"/>
  <c r="T33" i="19"/>
  <c r="T32" i="19"/>
  <c r="T31" i="19"/>
  <c r="T30" i="19"/>
  <c r="T29" i="19"/>
  <c r="T28" i="19"/>
  <c r="T27" i="19"/>
  <c r="T26" i="19"/>
  <c r="T25" i="19"/>
  <c r="T24" i="19"/>
  <c r="T23" i="19"/>
  <c r="T22" i="19"/>
  <c r="T21" i="19"/>
  <c r="T20" i="19"/>
  <c r="T19" i="19"/>
  <c r="T18" i="19"/>
  <c r="T17" i="19"/>
  <c r="T16" i="19"/>
  <c r="T15" i="19"/>
  <c r="T14" i="19"/>
  <c r="T13" i="19"/>
  <c r="T12" i="19"/>
  <c r="T11" i="19"/>
  <c r="T10" i="19"/>
  <c r="T9" i="19"/>
  <c r="T8" i="19"/>
  <c r="T7" i="19"/>
  <c r="T6" i="19"/>
  <c r="T5" i="19"/>
  <c r="T4" i="19"/>
  <c r="AC81" i="25" l="1"/>
  <c r="W78" i="32"/>
  <c r="AC78" i="32" s="1"/>
  <c r="G83" i="25"/>
  <c r="I82" i="25"/>
  <c r="L96" i="7"/>
  <c r="L97" i="7" s="1"/>
  <c r="L95" i="7"/>
  <c r="L94" i="7"/>
  <c r="L93" i="7"/>
  <c r="L92" i="7"/>
  <c r="L91" i="7"/>
  <c r="L90" i="7"/>
  <c r="L89" i="7"/>
  <c r="L88" i="7"/>
  <c r="L87" i="7"/>
  <c r="L86" i="7"/>
  <c r="L85" i="7"/>
  <c r="L84" i="7"/>
  <c r="L83" i="7"/>
  <c r="L82" i="7"/>
  <c r="L81" i="7"/>
  <c r="L80" i="7"/>
  <c r="L79" i="7"/>
  <c r="L78" i="7"/>
  <c r="L77" i="7"/>
  <c r="L76" i="7"/>
  <c r="L75" i="7"/>
  <c r="L74" i="7"/>
  <c r="L73" i="7"/>
  <c r="L72" i="7"/>
  <c r="L71" i="7"/>
  <c r="L70" i="7"/>
  <c r="L69" i="7"/>
  <c r="L68" i="7"/>
  <c r="L67" i="7"/>
  <c r="L66" i="7"/>
  <c r="L65" i="7"/>
  <c r="L64" i="7"/>
  <c r="L63" i="7"/>
  <c r="L62" i="7"/>
  <c r="L61" i="7"/>
  <c r="L60" i="7"/>
  <c r="L59" i="7"/>
  <c r="L58" i="7"/>
  <c r="L57" i="7"/>
  <c r="L56" i="7"/>
  <c r="L55" i="7"/>
  <c r="L54" i="7"/>
  <c r="L53" i="7"/>
  <c r="L52" i="7"/>
  <c r="L51" i="7"/>
  <c r="L50" i="7"/>
  <c r="L49" i="7"/>
  <c r="L48" i="7"/>
  <c r="L47" i="7"/>
  <c r="L46" i="7"/>
  <c r="L45" i="7"/>
  <c r="L44" i="7"/>
  <c r="L43" i="7"/>
  <c r="L42" i="7"/>
  <c r="L41" i="7"/>
  <c r="L40" i="7"/>
  <c r="L39" i="7"/>
  <c r="L38" i="7"/>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5" i="7"/>
  <c r="L4" i="7"/>
  <c r="AC82" i="25" l="1"/>
  <c r="W79" i="32"/>
  <c r="AC79" i="32" s="1"/>
  <c r="G84" i="25"/>
  <c r="I83" i="25"/>
  <c r="V7" i="7"/>
  <c r="V98" i="7"/>
  <c r="V6" i="7"/>
  <c r="M5" i="7"/>
  <c r="M4" i="7"/>
  <c r="S8" i="7"/>
  <c r="T8" i="7" s="1"/>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27" i="5"/>
  <c r="N37" i="5" s="1"/>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27" i="5"/>
  <c r="M37" i="5" s="1"/>
  <c r="G6" i="20"/>
  <c r="G7" i="20"/>
  <c r="G8" i="20"/>
  <c r="G9" i="20"/>
  <c r="G10" i="20"/>
  <c r="G11" i="20"/>
  <c r="G12" i="20"/>
  <c r="G13" i="20"/>
  <c r="G14" i="20"/>
  <c r="G15" i="20"/>
  <c r="G16" i="20"/>
  <c r="G17" i="20"/>
  <c r="G18" i="20"/>
  <c r="G19" i="20"/>
  <c r="G20" i="20"/>
  <c r="G21" i="20"/>
  <c r="G5" i="20"/>
  <c r="U6" i="7"/>
  <c r="Q6" i="19" s="1"/>
  <c r="I5" i="32" s="1"/>
  <c r="U7" i="7"/>
  <c r="U98" i="7"/>
  <c r="Q98" i="19" s="1"/>
  <c r="N85" i="19"/>
  <c r="O85" i="19" s="1"/>
  <c r="V85" i="19" s="1"/>
  <c r="N86" i="19"/>
  <c r="O86" i="19" s="1"/>
  <c r="V86" i="19" s="1"/>
  <c r="N87" i="19"/>
  <c r="O87" i="19" s="1"/>
  <c r="V87" i="19" s="1"/>
  <c r="N88" i="19"/>
  <c r="O88" i="19" s="1"/>
  <c r="V88" i="19" s="1"/>
  <c r="N89" i="19"/>
  <c r="O89" i="19" s="1"/>
  <c r="V89" i="19" s="1"/>
  <c r="N90" i="19"/>
  <c r="O90" i="19" s="1"/>
  <c r="V90" i="19" s="1"/>
  <c r="N91" i="19"/>
  <c r="O91" i="19" s="1"/>
  <c r="V91" i="19" s="1"/>
  <c r="N92" i="19"/>
  <c r="O92" i="19" s="1"/>
  <c r="V92" i="19" s="1"/>
  <c r="N93" i="19"/>
  <c r="O93" i="19" s="1"/>
  <c r="V93" i="19" s="1"/>
  <c r="N94" i="19"/>
  <c r="O94" i="19" s="1"/>
  <c r="V94" i="19" s="1"/>
  <c r="N95" i="19"/>
  <c r="O95" i="19" s="1"/>
  <c r="V95" i="19" s="1"/>
  <c r="N96" i="19"/>
  <c r="N98" i="19"/>
  <c r="O98" i="19" s="1"/>
  <c r="N5" i="19"/>
  <c r="O5" i="19" s="1"/>
  <c r="V5" i="19" s="1"/>
  <c r="N6" i="19"/>
  <c r="O6" i="19" s="1"/>
  <c r="V6" i="19" s="1"/>
  <c r="N7" i="19"/>
  <c r="O7" i="19" s="1"/>
  <c r="V7" i="19" s="1"/>
  <c r="N8" i="19"/>
  <c r="O8" i="19" s="1"/>
  <c r="V8" i="19" s="1"/>
  <c r="N9" i="19"/>
  <c r="O9" i="19" s="1"/>
  <c r="V9" i="19" s="1"/>
  <c r="N10" i="19"/>
  <c r="O10" i="19" s="1"/>
  <c r="V10" i="19" s="1"/>
  <c r="N11" i="19"/>
  <c r="O11" i="19" s="1"/>
  <c r="V11" i="19" s="1"/>
  <c r="N12" i="19"/>
  <c r="O12" i="19" s="1"/>
  <c r="V12" i="19" s="1"/>
  <c r="N13" i="19"/>
  <c r="O13" i="19" s="1"/>
  <c r="V13" i="19" s="1"/>
  <c r="N14" i="19"/>
  <c r="O14" i="19" s="1"/>
  <c r="V14" i="19" s="1"/>
  <c r="N15" i="19"/>
  <c r="O15" i="19" s="1"/>
  <c r="V15" i="19" s="1"/>
  <c r="N16" i="19"/>
  <c r="O16" i="19" s="1"/>
  <c r="V16" i="19" s="1"/>
  <c r="N17" i="19"/>
  <c r="O17" i="19" s="1"/>
  <c r="V17" i="19" s="1"/>
  <c r="N18" i="19"/>
  <c r="O18" i="19" s="1"/>
  <c r="V18" i="19" s="1"/>
  <c r="N19" i="19"/>
  <c r="O19" i="19" s="1"/>
  <c r="V19" i="19" s="1"/>
  <c r="N20" i="19"/>
  <c r="O20" i="19" s="1"/>
  <c r="V20" i="19" s="1"/>
  <c r="N21" i="19"/>
  <c r="O21" i="19" s="1"/>
  <c r="V21" i="19" s="1"/>
  <c r="N22" i="19"/>
  <c r="O22" i="19" s="1"/>
  <c r="V22" i="19" s="1"/>
  <c r="N23" i="19"/>
  <c r="O23" i="19" s="1"/>
  <c r="V23" i="19" s="1"/>
  <c r="N24" i="19"/>
  <c r="O24" i="19" s="1"/>
  <c r="V24" i="19" s="1"/>
  <c r="N25" i="19"/>
  <c r="O25" i="19" s="1"/>
  <c r="V25" i="19" s="1"/>
  <c r="N26" i="19"/>
  <c r="O26" i="19" s="1"/>
  <c r="V26" i="19" s="1"/>
  <c r="N27" i="19"/>
  <c r="O27" i="19" s="1"/>
  <c r="V27" i="19" s="1"/>
  <c r="N28" i="19"/>
  <c r="O28" i="19" s="1"/>
  <c r="V28" i="19" s="1"/>
  <c r="N29" i="19"/>
  <c r="O29" i="19" s="1"/>
  <c r="V29" i="19" s="1"/>
  <c r="N30" i="19"/>
  <c r="O30" i="19" s="1"/>
  <c r="V30" i="19" s="1"/>
  <c r="N31" i="19"/>
  <c r="O31" i="19" s="1"/>
  <c r="V31" i="19" s="1"/>
  <c r="N32" i="19"/>
  <c r="O32" i="19" s="1"/>
  <c r="V32" i="19" s="1"/>
  <c r="N33" i="19"/>
  <c r="O33" i="19" s="1"/>
  <c r="V33" i="19" s="1"/>
  <c r="N34" i="19"/>
  <c r="O34" i="19" s="1"/>
  <c r="V34" i="19" s="1"/>
  <c r="N35" i="19"/>
  <c r="O35" i="19" s="1"/>
  <c r="V35" i="19" s="1"/>
  <c r="N36" i="19"/>
  <c r="O36" i="19" s="1"/>
  <c r="V36" i="19" s="1"/>
  <c r="N37" i="19"/>
  <c r="O37" i="19" s="1"/>
  <c r="V37" i="19" s="1"/>
  <c r="N38" i="19"/>
  <c r="O38" i="19" s="1"/>
  <c r="V38" i="19" s="1"/>
  <c r="N39" i="19"/>
  <c r="O39" i="19" s="1"/>
  <c r="V39" i="19" s="1"/>
  <c r="N40" i="19"/>
  <c r="O40" i="19" s="1"/>
  <c r="V40" i="19" s="1"/>
  <c r="N41" i="19"/>
  <c r="O41" i="19" s="1"/>
  <c r="V41" i="19" s="1"/>
  <c r="N42" i="19"/>
  <c r="O42" i="19" s="1"/>
  <c r="V42" i="19" s="1"/>
  <c r="N43" i="19"/>
  <c r="O43" i="19" s="1"/>
  <c r="V43" i="19" s="1"/>
  <c r="N44" i="19"/>
  <c r="O44" i="19" s="1"/>
  <c r="V44" i="19" s="1"/>
  <c r="N45" i="19"/>
  <c r="O45" i="19" s="1"/>
  <c r="V45" i="19" s="1"/>
  <c r="N46" i="19"/>
  <c r="O46" i="19" s="1"/>
  <c r="V46" i="19" s="1"/>
  <c r="N47" i="19"/>
  <c r="O47" i="19" s="1"/>
  <c r="V47" i="19" s="1"/>
  <c r="N48" i="19"/>
  <c r="O48" i="19" s="1"/>
  <c r="V48" i="19" s="1"/>
  <c r="N49" i="19"/>
  <c r="O49" i="19" s="1"/>
  <c r="V49" i="19" s="1"/>
  <c r="N50" i="19"/>
  <c r="O50" i="19" s="1"/>
  <c r="V50" i="19" s="1"/>
  <c r="N51" i="19"/>
  <c r="O51" i="19" s="1"/>
  <c r="V51" i="19" s="1"/>
  <c r="N52" i="19"/>
  <c r="O52" i="19" s="1"/>
  <c r="V52" i="19" s="1"/>
  <c r="N53" i="19"/>
  <c r="O53" i="19" s="1"/>
  <c r="V53" i="19" s="1"/>
  <c r="N54" i="19"/>
  <c r="O54" i="19" s="1"/>
  <c r="V54" i="19" s="1"/>
  <c r="N55" i="19"/>
  <c r="O55" i="19" s="1"/>
  <c r="V55" i="19" s="1"/>
  <c r="N56" i="19"/>
  <c r="O56" i="19" s="1"/>
  <c r="V56" i="19" s="1"/>
  <c r="N57" i="19"/>
  <c r="O57" i="19" s="1"/>
  <c r="V57" i="19" s="1"/>
  <c r="N58" i="19"/>
  <c r="O58" i="19" s="1"/>
  <c r="V58" i="19" s="1"/>
  <c r="N59" i="19"/>
  <c r="O59" i="19" s="1"/>
  <c r="V59" i="19" s="1"/>
  <c r="N60" i="19"/>
  <c r="O60" i="19" s="1"/>
  <c r="V60" i="19" s="1"/>
  <c r="N61" i="19"/>
  <c r="O61" i="19" s="1"/>
  <c r="V61" i="19" s="1"/>
  <c r="N62" i="19"/>
  <c r="O62" i="19" s="1"/>
  <c r="V62" i="19" s="1"/>
  <c r="N63" i="19"/>
  <c r="O63" i="19" s="1"/>
  <c r="V63" i="19" s="1"/>
  <c r="N64" i="19"/>
  <c r="O64" i="19" s="1"/>
  <c r="V64" i="19" s="1"/>
  <c r="N65" i="19"/>
  <c r="O65" i="19" s="1"/>
  <c r="V65" i="19" s="1"/>
  <c r="N66" i="19"/>
  <c r="O66" i="19" s="1"/>
  <c r="V66" i="19" s="1"/>
  <c r="N67" i="19"/>
  <c r="O67" i="19" s="1"/>
  <c r="V67" i="19" s="1"/>
  <c r="N68" i="19"/>
  <c r="O68" i="19" s="1"/>
  <c r="V68" i="19" s="1"/>
  <c r="N69" i="19"/>
  <c r="O69" i="19" s="1"/>
  <c r="V69" i="19" s="1"/>
  <c r="N70" i="19"/>
  <c r="O70" i="19" s="1"/>
  <c r="V70" i="19" s="1"/>
  <c r="N71" i="19"/>
  <c r="O71" i="19" s="1"/>
  <c r="V71" i="19" s="1"/>
  <c r="N72" i="19"/>
  <c r="O72" i="19" s="1"/>
  <c r="V72" i="19" s="1"/>
  <c r="N73" i="19"/>
  <c r="O73" i="19" s="1"/>
  <c r="V73" i="19" s="1"/>
  <c r="N74" i="19"/>
  <c r="O74" i="19" s="1"/>
  <c r="V74" i="19" s="1"/>
  <c r="N75" i="19"/>
  <c r="O75" i="19" s="1"/>
  <c r="V75" i="19" s="1"/>
  <c r="N76" i="19"/>
  <c r="O76" i="19" s="1"/>
  <c r="V76" i="19" s="1"/>
  <c r="N77" i="19"/>
  <c r="O77" i="19" s="1"/>
  <c r="V77" i="19" s="1"/>
  <c r="N78" i="19"/>
  <c r="O78" i="19" s="1"/>
  <c r="V78" i="19" s="1"/>
  <c r="N79" i="19"/>
  <c r="O79" i="19" s="1"/>
  <c r="V79" i="19" s="1"/>
  <c r="N80" i="19"/>
  <c r="O80" i="19" s="1"/>
  <c r="V80" i="19" s="1"/>
  <c r="N81" i="19"/>
  <c r="O81" i="19" s="1"/>
  <c r="V81" i="19" s="1"/>
  <c r="N82" i="19"/>
  <c r="O82" i="19" s="1"/>
  <c r="V82" i="19" s="1"/>
  <c r="N83" i="19"/>
  <c r="N4" i="19"/>
  <c r="O4" i="19" s="1"/>
  <c r="V4" i="19" s="1"/>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27" i="5"/>
  <c r="U8" i="7" l="1"/>
  <c r="Q7" i="19"/>
  <c r="I6" i="32" s="1"/>
  <c r="V8" i="7"/>
  <c r="P98" i="19"/>
  <c r="V98" i="19"/>
  <c r="AC83" i="25"/>
  <c r="W80" i="32"/>
  <c r="AC80" i="32" s="1"/>
  <c r="I97" i="32"/>
  <c r="U98" i="19"/>
  <c r="AF98" i="19" s="1"/>
  <c r="S5" i="7"/>
  <c r="AJ5" i="7"/>
  <c r="S4" i="7"/>
  <c r="T4" i="7" s="1"/>
  <c r="AJ4" i="7"/>
  <c r="P4" i="19"/>
  <c r="P82" i="19"/>
  <c r="P80" i="19"/>
  <c r="P78" i="19"/>
  <c r="P76" i="19"/>
  <c r="P74" i="19"/>
  <c r="P72" i="19"/>
  <c r="P70" i="19"/>
  <c r="P68" i="19"/>
  <c r="P66" i="19"/>
  <c r="P64" i="19"/>
  <c r="P62" i="19"/>
  <c r="P60" i="19"/>
  <c r="P58" i="19"/>
  <c r="P56" i="19"/>
  <c r="P54" i="19"/>
  <c r="P52" i="19"/>
  <c r="P50" i="19"/>
  <c r="P48" i="19"/>
  <c r="P46" i="19"/>
  <c r="P44" i="19"/>
  <c r="P42" i="19"/>
  <c r="P40" i="19"/>
  <c r="P38" i="19"/>
  <c r="P36" i="19"/>
  <c r="P34" i="19"/>
  <c r="P32" i="19"/>
  <c r="P30" i="19"/>
  <c r="P28" i="19"/>
  <c r="P26" i="19"/>
  <c r="P24" i="19"/>
  <c r="P22" i="19"/>
  <c r="P20" i="19"/>
  <c r="P18" i="19"/>
  <c r="P16" i="19"/>
  <c r="P14" i="19"/>
  <c r="P12" i="19"/>
  <c r="P10" i="19"/>
  <c r="P8" i="19"/>
  <c r="P6" i="19"/>
  <c r="P95" i="19"/>
  <c r="P93" i="19"/>
  <c r="P91" i="19"/>
  <c r="P89" i="19"/>
  <c r="P87" i="19"/>
  <c r="P85" i="19"/>
  <c r="N84" i="19"/>
  <c r="O84" i="19" s="1"/>
  <c r="O83" i="19"/>
  <c r="V83" i="19" s="1"/>
  <c r="P81" i="19"/>
  <c r="P79" i="19"/>
  <c r="P77" i="19"/>
  <c r="P75" i="19"/>
  <c r="P73" i="19"/>
  <c r="P71" i="19"/>
  <c r="P69" i="19"/>
  <c r="P67" i="19"/>
  <c r="P65" i="19"/>
  <c r="P63" i="19"/>
  <c r="P61" i="19"/>
  <c r="P59" i="19"/>
  <c r="P57" i="19"/>
  <c r="P55" i="19"/>
  <c r="P53" i="19"/>
  <c r="P51" i="19"/>
  <c r="P49" i="19"/>
  <c r="P47" i="19"/>
  <c r="P45" i="19"/>
  <c r="P43" i="19"/>
  <c r="P41" i="19"/>
  <c r="P39" i="19"/>
  <c r="P37" i="19"/>
  <c r="P35" i="19"/>
  <c r="P33" i="19"/>
  <c r="P31" i="19"/>
  <c r="P29" i="19"/>
  <c r="P27" i="19"/>
  <c r="P25" i="19"/>
  <c r="P23" i="19"/>
  <c r="P21" i="19"/>
  <c r="P19" i="19"/>
  <c r="P17" i="19"/>
  <c r="P15" i="19"/>
  <c r="P13" i="19"/>
  <c r="P11" i="19"/>
  <c r="P9" i="19"/>
  <c r="P7" i="19"/>
  <c r="P5" i="19"/>
  <c r="O96" i="19"/>
  <c r="V96" i="19" s="1"/>
  <c r="N97" i="19"/>
  <c r="O97" i="19" s="1"/>
  <c r="P94" i="19"/>
  <c r="P92" i="19"/>
  <c r="P90" i="19"/>
  <c r="P88" i="19"/>
  <c r="P86" i="19"/>
  <c r="G85" i="25"/>
  <c r="I84" i="25"/>
  <c r="Y98" i="7"/>
  <c r="AE98" i="7"/>
  <c r="X98" i="7"/>
  <c r="O98" i="7" s="1"/>
  <c r="Y6" i="7"/>
  <c r="AE6" i="7"/>
  <c r="X6" i="7"/>
  <c r="O6" i="7" s="1"/>
  <c r="Y7" i="7"/>
  <c r="AE7" i="7"/>
  <c r="S6" i="25" s="1"/>
  <c r="X7" i="7"/>
  <c r="O7" i="7" s="1"/>
  <c r="Z7" i="7"/>
  <c r="U7" i="19"/>
  <c r="AF7" i="19" s="1"/>
  <c r="Z6" i="7"/>
  <c r="U6" i="19"/>
  <c r="AF6" i="19" s="1"/>
  <c r="Z98" i="7"/>
  <c r="Z8" i="7"/>
  <c r="C4" i="5"/>
  <c r="C6" i="5"/>
  <c r="C8" i="5"/>
  <c r="C10" i="5"/>
  <c r="C12" i="5"/>
  <c r="C14" i="5"/>
  <c r="C16" i="5"/>
  <c r="C18" i="5"/>
  <c r="C20" i="5"/>
  <c r="C22" i="5"/>
  <c r="C24" i="5"/>
  <c r="C26" i="5"/>
  <c r="C3" i="5"/>
  <c r="C5" i="5"/>
  <c r="C7" i="5"/>
  <c r="C9" i="5"/>
  <c r="C11" i="5"/>
  <c r="C13" i="5"/>
  <c r="C15" i="5"/>
  <c r="C17" i="5"/>
  <c r="C19" i="5"/>
  <c r="C21" i="5"/>
  <c r="C23" i="5"/>
  <c r="C25" i="5"/>
  <c r="B4" i="5"/>
  <c r="B6" i="5"/>
  <c r="B8" i="5"/>
  <c r="B10" i="5"/>
  <c r="B12" i="5"/>
  <c r="B14" i="5"/>
  <c r="B16" i="5"/>
  <c r="B18" i="5"/>
  <c r="B20" i="5"/>
  <c r="B22" i="5"/>
  <c r="B24" i="5"/>
  <c r="B26" i="5"/>
  <c r="B5" i="5"/>
  <c r="B7" i="5"/>
  <c r="B9" i="5"/>
  <c r="B11" i="5"/>
  <c r="B13" i="5"/>
  <c r="B15" i="5"/>
  <c r="B17" i="5"/>
  <c r="B19" i="5"/>
  <c r="B21" i="5"/>
  <c r="B23" i="5"/>
  <c r="B25" i="5"/>
  <c r="B3" i="5"/>
  <c r="AE8" i="7" l="1"/>
  <c r="F8" i="19" s="1"/>
  <c r="Y8" i="7"/>
  <c r="V4" i="7"/>
  <c r="AE4" i="7" s="1"/>
  <c r="X8" i="7"/>
  <c r="O8" i="7" s="1"/>
  <c r="Q8" i="19"/>
  <c r="U4" i="7"/>
  <c r="AF6" i="7"/>
  <c r="R5" i="25"/>
  <c r="H5" i="32" s="1"/>
  <c r="F6" i="19"/>
  <c r="AF98" i="7"/>
  <c r="R97" i="25"/>
  <c r="H97" i="32" s="1"/>
  <c r="G97" i="32" s="1"/>
  <c r="F98" i="19"/>
  <c r="AC84" i="25"/>
  <c r="W81" i="32"/>
  <c r="AC81" i="32" s="1"/>
  <c r="H6" i="33"/>
  <c r="AI7" i="7"/>
  <c r="AL7" i="7" s="1"/>
  <c r="AM7" i="7"/>
  <c r="X6" i="1" s="1"/>
  <c r="AB6" i="1" s="1"/>
  <c r="H5" i="33"/>
  <c r="AI6" i="7"/>
  <c r="AL6" i="7" s="1"/>
  <c r="AM6" i="7"/>
  <c r="X5" i="1" s="1"/>
  <c r="AB5" i="1" s="1"/>
  <c r="S5" i="25"/>
  <c r="S97" i="25"/>
  <c r="P97" i="19"/>
  <c r="V97" i="19"/>
  <c r="P84" i="19"/>
  <c r="V84" i="19"/>
  <c r="AF7" i="7"/>
  <c r="R6" i="25"/>
  <c r="H6" i="32" s="1"/>
  <c r="F7" i="19"/>
  <c r="G7" i="19"/>
  <c r="AH7" i="19" s="1"/>
  <c r="G6" i="19"/>
  <c r="AH6" i="19" s="1"/>
  <c r="G98" i="19"/>
  <c r="AH98" i="19" s="1"/>
  <c r="AI8" i="7"/>
  <c r="AL8" i="7" s="1"/>
  <c r="T5" i="7"/>
  <c r="U5" i="7"/>
  <c r="AM98" i="7"/>
  <c r="AI98" i="7"/>
  <c r="AL98" i="7" s="1"/>
  <c r="R7" i="25"/>
  <c r="H7" i="32" s="1"/>
  <c r="P83" i="19"/>
  <c r="P96" i="19"/>
  <c r="G86" i="25"/>
  <c r="I85" i="25"/>
  <c r="H7" i="33" l="1"/>
  <c r="G8" i="19"/>
  <c r="AH8" i="19" s="1"/>
  <c r="S7" i="25"/>
  <c r="U7" i="25" s="1"/>
  <c r="AD7" i="25" s="1"/>
  <c r="Y8" i="19" s="1"/>
  <c r="AA8" i="19" s="1"/>
  <c r="AC8" i="19" s="1"/>
  <c r="Z4" i="7"/>
  <c r="R3" i="25"/>
  <c r="H3" i="32" s="1"/>
  <c r="X4" i="7"/>
  <c r="O4" i="7" s="1"/>
  <c r="G4" i="19"/>
  <c r="AH4" i="19" s="1"/>
  <c r="AM8" i="7"/>
  <c r="X7" i="1" s="1"/>
  <c r="AB7" i="1" s="1"/>
  <c r="AK8" i="7"/>
  <c r="AN8" i="7" s="1"/>
  <c r="B7" i="32" s="1"/>
  <c r="C7" i="32" s="1"/>
  <c r="AI4" i="7"/>
  <c r="AL4" i="7" s="1"/>
  <c r="AF8" i="7"/>
  <c r="I7" i="32"/>
  <c r="G7" i="32" s="1"/>
  <c r="U8" i="19"/>
  <c r="AF8" i="19" s="1"/>
  <c r="V5" i="7"/>
  <c r="Z5" i="7" s="1"/>
  <c r="Y4" i="7"/>
  <c r="Q4" i="19"/>
  <c r="I3" i="32" s="1"/>
  <c r="S3" i="25"/>
  <c r="U3" i="25" s="1"/>
  <c r="AD3" i="25" s="1"/>
  <c r="Y4" i="19" s="1"/>
  <c r="AA4" i="19" s="1"/>
  <c r="AC4" i="19" s="1"/>
  <c r="F4" i="19"/>
  <c r="U97" i="25"/>
  <c r="U5" i="25"/>
  <c r="AD5" i="25" s="1"/>
  <c r="Y6" i="19" s="1"/>
  <c r="AA6" i="19" s="1"/>
  <c r="AC6" i="19" s="1"/>
  <c r="G6" i="32"/>
  <c r="AC85" i="25"/>
  <c r="W82" i="32"/>
  <c r="AC82" i="32" s="1"/>
  <c r="AK6" i="7"/>
  <c r="AN6" i="7" s="1"/>
  <c r="B5" i="32" s="1"/>
  <c r="C5" i="32" s="1"/>
  <c r="AK7" i="7"/>
  <c r="AN7" i="7" s="1"/>
  <c r="B6" i="32" s="1"/>
  <c r="C6" i="32" s="1"/>
  <c r="V6" i="32" s="1"/>
  <c r="G5" i="32"/>
  <c r="U6" i="25"/>
  <c r="AD6" i="25" s="1"/>
  <c r="Y7" i="19" s="1"/>
  <c r="AA7" i="19" s="1"/>
  <c r="AC7" i="19" s="1"/>
  <c r="S9" i="7"/>
  <c r="T9" i="7" s="1"/>
  <c r="AJ9" i="7"/>
  <c r="AK98" i="7"/>
  <c r="AN98" i="7" s="1"/>
  <c r="B97" i="32" s="1"/>
  <c r="C97" i="32" s="1"/>
  <c r="V97" i="32" s="1"/>
  <c r="G87" i="25"/>
  <c r="I86" i="25"/>
  <c r="AK4" i="7" l="1"/>
  <c r="AN4" i="7" s="1"/>
  <c r="B3" i="32" s="1"/>
  <c r="C3" i="32" s="1"/>
  <c r="AD3" i="33" s="1"/>
  <c r="U4" i="19"/>
  <c r="AF4" i="19" s="1"/>
  <c r="AF4" i="7"/>
  <c r="Y5" i="7"/>
  <c r="Q5" i="19"/>
  <c r="U5" i="19" s="1"/>
  <c r="AF5" i="19" s="1"/>
  <c r="X5" i="7"/>
  <c r="O5" i="7" s="1"/>
  <c r="AE5" i="7"/>
  <c r="G3" i="32"/>
  <c r="AM4" i="7"/>
  <c r="X3" i="1" s="1"/>
  <c r="AB3" i="1" s="1"/>
  <c r="V9" i="7"/>
  <c r="AJ4" i="19"/>
  <c r="AN4" i="19" s="1"/>
  <c r="Z3" i="1" s="1"/>
  <c r="U9" i="7"/>
  <c r="AC86" i="25"/>
  <c r="W83" i="32"/>
  <c r="AC83" i="32" s="1"/>
  <c r="Q6" i="32"/>
  <c r="S10" i="7"/>
  <c r="T10" i="7" s="1"/>
  <c r="AJ10" i="7"/>
  <c r="G88" i="25"/>
  <c r="I87" i="25"/>
  <c r="AK4" i="19" l="1"/>
  <c r="Y9" i="7"/>
  <c r="Q3" i="32"/>
  <c r="Y3" i="1" s="1"/>
  <c r="AA3" i="1" s="1"/>
  <c r="F5" i="19"/>
  <c r="G5" i="19"/>
  <c r="AH5" i="19" s="1"/>
  <c r="I4" i="32"/>
  <c r="R4" i="25"/>
  <c r="H4" i="32" s="1"/>
  <c r="S4" i="25"/>
  <c r="AF5" i="7"/>
  <c r="AI5" i="7"/>
  <c r="AL5" i="7" s="1"/>
  <c r="AM5" i="7"/>
  <c r="X4" i="1" s="1"/>
  <c r="AB4" i="1" s="1"/>
  <c r="H4" i="33"/>
  <c r="AL4" i="19"/>
  <c r="AM4" i="19"/>
  <c r="Q9" i="19"/>
  <c r="I8" i="32" s="1"/>
  <c r="X9" i="7"/>
  <c r="O9" i="7" s="1"/>
  <c r="Z9" i="7"/>
  <c r="AE9" i="7"/>
  <c r="B3" i="33"/>
  <c r="V10" i="7"/>
  <c r="AT4" i="19"/>
  <c r="AC87" i="25"/>
  <c r="W84" i="32"/>
  <c r="AC84" i="32" s="1"/>
  <c r="U10" i="7"/>
  <c r="Z10" i="7" s="1"/>
  <c r="V5" i="32"/>
  <c r="Q5" i="32"/>
  <c r="Y6" i="1"/>
  <c r="R6" i="32"/>
  <c r="D6" i="33"/>
  <c r="S11" i="7"/>
  <c r="U11" i="7" s="1"/>
  <c r="AJ11" i="7"/>
  <c r="G89" i="25"/>
  <c r="I88" i="25"/>
  <c r="R3" i="32" l="1"/>
  <c r="AE10" i="7"/>
  <c r="U4" i="25"/>
  <c r="AD4" i="25" s="1"/>
  <c r="Y5" i="19" s="1"/>
  <c r="AA5" i="19" s="1"/>
  <c r="AC5" i="19" s="1"/>
  <c r="AJ5" i="19" s="1"/>
  <c r="D3" i="33"/>
  <c r="E3" i="33" s="1"/>
  <c r="G4" i="32"/>
  <c r="F9" i="19"/>
  <c r="AM9" i="7"/>
  <c r="X8" i="1" s="1"/>
  <c r="AB8" i="1" s="1"/>
  <c r="H8" i="33"/>
  <c r="G9" i="19"/>
  <c r="AH9" i="19" s="1"/>
  <c r="AD5" i="32" s="1"/>
  <c r="AJ6" i="19" s="1"/>
  <c r="AE5" i="32" s="1"/>
  <c r="S8" i="25"/>
  <c r="R8" i="25"/>
  <c r="H8" i="32" s="1"/>
  <c r="G8" i="32" s="1"/>
  <c r="AK5" i="7"/>
  <c r="AN5" i="7" s="1"/>
  <c r="B4" i="32" s="1"/>
  <c r="C4" i="32" s="1"/>
  <c r="V4" i="32" s="1"/>
  <c r="AD4" i="33" s="1"/>
  <c r="U9" i="19"/>
  <c r="AF9" i="19" s="1"/>
  <c r="AI9" i="7"/>
  <c r="AL9" i="7" s="1"/>
  <c r="AF9" i="7"/>
  <c r="T11" i="7"/>
  <c r="V11" i="7" s="1"/>
  <c r="X10" i="7"/>
  <c r="O10" i="7" s="1"/>
  <c r="Y10" i="7"/>
  <c r="Q10" i="19"/>
  <c r="I9" i="32" s="1"/>
  <c r="AC88" i="25"/>
  <c r="W85" i="32"/>
  <c r="AC85" i="32" s="1"/>
  <c r="R5" i="32"/>
  <c r="D5" i="33"/>
  <c r="Y5" i="1"/>
  <c r="V7" i="32"/>
  <c r="Q7" i="32"/>
  <c r="S12" i="7"/>
  <c r="U12" i="7" s="1"/>
  <c r="AJ12" i="7"/>
  <c r="AI10" i="7"/>
  <c r="AL10" i="7" s="1"/>
  <c r="R9" i="25"/>
  <c r="H9" i="32" s="1"/>
  <c r="F10" i="19"/>
  <c r="G10" i="19"/>
  <c r="AH10" i="19" s="1"/>
  <c r="G90" i="25"/>
  <c r="I89" i="25"/>
  <c r="S9" i="25"/>
  <c r="G3" i="33" l="1"/>
  <c r="AF3" i="33"/>
  <c r="U8" i="25"/>
  <c r="AD8" i="25" s="1"/>
  <c r="Y9" i="19" s="1"/>
  <c r="AA9" i="19" s="1"/>
  <c r="G9" i="32"/>
  <c r="AD5" i="33"/>
  <c r="R3" i="33"/>
  <c r="T3" i="33"/>
  <c r="U3" i="33" s="1"/>
  <c r="AA3" i="33" s="1"/>
  <c r="Q3" i="33"/>
  <c r="AE3" i="33"/>
  <c r="I3" i="33"/>
  <c r="M3" i="33" s="1"/>
  <c r="P3" i="33"/>
  <c r="Q4" i="32"/>
  <c r="D4" i="33" s="1"/>
  <c r="AK9" i="7"/>
  <c r="AN9" i="7" s="1"/>
  <c r="B8" i="32" s="1"/>
  <c r="C8" i="32" s="1"/>
  <c r="V8" i="32" s="1"/>
  <c r="T12" i="7"/>
  <c r="V12" i="7" s="1"/>
  <c r="Z11" i="7"/>
  <c r="AE11" i="7"/>
  <c r="R10" i="25" s="1"/>
  <c r="H10" i="32" s="1"/>
  <c r="U9" i="25"/>
  <c r="AD9" i="25" s="1"/>
  <c r="Y10" i="19" s="1"/>
  <c r="AA10" i="19" s="1"/>
  <c r="AC10" i="19" s="1"/>
  <c r="AF10" i="7"/>
  <c r="AM10" i="7"/>
  <c r="X9" i="1" s="1"/>
  <c r="AB9" i="1" s="1"/>
  <c r="X11" i="7"/>
  <c r="O11" i="7" s="1"/>
  <c r="Y11" i="7"/>
  <c r="Q11" i="19"/>
  <c r="I10" i="32" s="1"/>
  <c r="H9" i="33"/>
  <c r="U10" i="19"/>
  <c r="AF10" i="19" s="1"/>
  <c r="Q8" i="32"/>
  <c r="Y8" i="1" s="1"/>
  <c r="AC89" i="25"/>
  <c r="W86" i="32"/>
  <c r="AC86" i="32" s="1"/>
  <c r="Y7" i="1"/>
  <c r="R7" i="32"/>
  <c r="D7" i="33"/>
  <c r="AK6" i="19"/>
  <c r="AM6" i="19"/>
  <c r="AN6" i="19"/>
  <c r="AL6" i="19"/>
  <c r="B5" i="33"/>
  <c r="AD6" i="32"/>
  <c r="AK10" i="7"/>
  <c r="AN10" i="7" s="1"/>
  <c r="B9" i="32" s="1"/>
  <c r="C9" i="32" s="1"/>
  <c r="AK5" i="19"/>
  <c r="AC9" i="19"/>
  <c r="S13" i="7"/>
  <c r="U13" i="7" s="1"/>
  <c r="AJ13" i="7"/>
  <c r="U11" i="19"/>
  <c r="AF11" i="19" s="1"/>
  <c r="G91" i="25"/>
  <c r="I90" i="25"/>
  <c r="S10" i="25"/>
  <c r="Z3" i="33" l="1"/>
  <c r="N3" i="33"/>
  <c r="AG3" i="33"/>
  <c r="Y12" i="7"/>
  <c r="R4" i="32"/>
  <c r="Y4" i="1"/>
  <c r="T13" i="7"/>
  <c r="V13" i="7" s="1"/>
  <c r="AE12" i="7"/>
  <c r="AF11" i="7"/>
  <c r="G11" i="19"/>
  <c r="AH11" i="19" s="1"/>
  <c r="F11" i="19"/>
  <c r="R8" i="32"/>
  <c r="H10" i="33"/>
  <c r="AM11" i="7"/>
  <c r="X10" i="1" s="1"/>
  <c r="AB10" i="1" s="1"/>
  <c r="D8" i="33"/>
  <c r="AI11" i="7"/>
  <c r="AL11" i="7" s="1"/>
  <c r="Z12" i="7"/>
  <c r="Q12" i="19"/>
  <c r="I11" i="32" s="1"/>
  <c r="X12" i="7"/>
  <c r="O12" i="7" s="1"/>
  <c r="AC90" i="25"/>
  <c r="W87" i="32"/>
  <c r="AC87" i="32" s="1"/>
  <c r="V9" i="32"/>
  <c r="AJ7" i="19"/>
  <c r="AE6" i="32" s="1"/>
  <c r="AD6" i="33"/>
  <c r="E5" i="33"/>
  <c r="Z5" i="1"/>
  <c r="AT6" i="19"/>
  <c r="AD7" i="32"/>
  <c r="G10" i="32"/>
  <c r="S14" i="7"/>
  <c r="U14" i="7" s="1"/>
  <c r="AJ14" i="7"/>
  <c r="U10" i="25"/>
  <c r="AN5" i="19"/>
  <c r="B4" i="33"/>
  <c r="AL5" i="19"/>
  <c r="AM5" i="19"/>
  <c r="R11" i="25"/>
  <c r="H11" i="32" s="1"/>
  <c r="G12" i="19"/>
  <c r="AH12" i="19" s="1"/>
  <c r="G92" i="25"/>
  <c r="I91" i="25"/>
  <c r="S11" i="25"/>
  <c r="U12" i="19" l="1"/>
  <c r="AF12" i="19" s="1"/>
  <c r="T14" i="7"/>
  <c r="V14" i="7" s="1"/>
  <c r="AE13" i="7"/>
  <c r="F12" i="19"/>
  <c r="AM12" i="7"/>
  <c r="X11" i="1" s="1"/>
  <c r="AB11" i="1" s="1"/>
  <c r="AI12" i="7"/>
  <c r="AL12" i="7" s="1"/>
  <c r="Z13" i="7"/>
  <c r="Q13" i="19"/>
  <c r="U13" i="19" s="1"/>
  <c r="AF13" i="19" s="1"/>
  <c r="G11" i="32"/>
  <c r="X13" i="7"/>
  <c r="O13" i="7" s="1"/>
  <c r="Y13" i="7"/>
  <c r="AK11" i="7"/>
  <c r="AN11" i="7" s="1"/>
  <c r="B10" i="32" s="1"/>
  <c r="C10" i="32" s="1"/>
  <c r="V10" i="32" s="1"/>
  <c r="H11" i="33"/>
  <c r="AF12" i="7"/>
  <c r="U11" i="25"/>
  <c r="AD11" i="25" s="1"/>
  <c r="Y12" i="19" s="1"/>
  <c r="AA12" i="19" s="1"/>
  <c r="AC12" i="19" s="1"/>
  <c r="Q9" i="32"/>
  <c r="Y9" i="1" s="1"/>
  <c r="AC91" i="25"/>
  <c r="W88" i="32"/>
  <c r="AC88" i="32" s="1"/>
  <c r="AJ8" i="19"/>
  <c r="AE7" i="32" s="1"/>
  <c r="AD7" i="33"/>
  <c r="AA5" i="1"/>
  <c r="T5" i="33"/>
  <c r="U5" i="33" s="1"/>
  <c r="AA5" i="33" s="1"/>
  <c r="I5" i="33"/>
  <c r="M5" i="33" s="1"/>
  <c r="N5" i="33" s="1"/>
  <c r="R5" i="33"/>
  <c r="G5" i="33"/>
  <c r="Q5" i="33"/>
  <c r="AF5" i="33"/>
  <c r="AE5" i="33"/>
  <c r="P5" i="33"/>
  <c r="AK7" i="19"/>
  <c r="AN7" i="19"/>
  <c r="AM7" i="19"/>
  <c r="B6" i="33"/>
  <c r="AL7" i="19"/>
  <c r="AD8" i="32"/>
  <c r="I12" i="32"/>
  <c r="E4" i="33"/>
  <c r="S15" i="7"/>
  <c r="T15" i="7" s="1"/>
  <c r="AJ15" i="7"/>
  <c r="AI13" i="7"/>
  <c r="AL13" i="7" s="1"/>
  <c r="Z4" i="1"/>
  <c r="AT5" i="19"/>
  <c r="AD10" i="25"/>
  <c r="Y11" i="19" s="1"/>
  <c r="AA11" i="19" s="1"/>
  <c r="AC11" i="19" s="1"/>
  <c r="AK12" i="7"/>
  <c r="AN12" i="7" s="1"/>
  <c r="B11" i="32" s="1"/>
  <c r="C11" i="32" s="1"/>
  <c r="V11" i="32" s="1"/>
  <c r="F13" i="19"/>
  <c r="R12" i="25"/>
  <c r="H12" i="32" s="1"/>
  <c r="G13" i="19"/>
  <c r="AH13" i="19" s="1"/>
  <c r="G93" i="25"/>
  <c r="I92" i="25"/>
  <c r="S12" i="25"/>
  <c r="Q14" i="19" l="1"/>
  <c r="H12" i="33"/>
  <c r="AF13" i="7"/>
  <c r="AE14" i="7"/>
  <c r="Z14" i="7"/>
  <c r="X14" i="7"/>
  <c r="O14" i="7" s="1"/>
  <c r="Y14" i="7"/>
  <c r="Q10" i="32"/>
  <c r="R10" i="32" s="1"/>
  <c r="AM13" i="7"/>
  <c r="X12" i="1" s="1"/>
  <c r="AB12" i="1" s="1"/>
  <c r="Z5" i="33"/>
  <c r="V15" i="7"/>
  <c r="D9" i="33"/>
  <c r="R9" i="32"/>
  <c r="U15" i="7"/>
  <c r="AF14" i="7"/>
  <c r="AC92" i="25"/>
  <c r="W89" i="32"/>
  <c r="AC89" i="32" s="1"/>
  <c r="AG5" i="33"/>
  <c r="E6" i="33"/>
  <c r="P6" i="33" s="1"/>
  <c r="Z6" i="1"/>
  <c r="AT7" i="19"/>
  <c r="AN8" i="19"/>
  <c r="AM8" i="19"/>
  <c r="AK8" i="19"/>
  <c r="B7" i="33"/>
  <c r="AL8" i="19"/>
  <c r="AJ9" i="19"/>
  <c r="AD8" i="33"/>
  <c r="AF4" i="33"/>
  <c r="AE4" i="33"/>
  <c r="AD9" i="32"/>
  <c r="Q11" i="32"/>
  <c r="G12" i="32"/>
  <c r="S16" i="7"/>
  <c r="T16" i="7" s="1"/>
  <c r="AJ16" i="7"/>
  <c r="U12" i="25"/>
  <c r="H13" i="33"/>
  <c r="AM14" i="7"/>
  <c r="X13" i="1" s="1"/>
  <c r="AB13" i="1" s="1"/>
  <c r="G4" i="33"/>
  <c r="T4" i="33"/>
  <c r="U4" i="33" s="1"/>
  <c r="AA4" i="33" s="1"/>
  <c r="I4" i="33"/>
  <c r="M4" i="33" s="1"/>
  <c r="N4" i="33" s="1"/>
  <c r="Q4" i="33"/>
  <c r="R4" i="33"/>
  <c r="AA4" i="1"/>
  <c r="AK13" i="7"/>
  <c r="AN13" i="7" s="1"/>
  <c r="B12" i="32" s="1"/>
  <c r="C12" i="32" s="1"/>
  <c r="P4" i="33"/>
  <c r="F14" i="19"/>
  <c r="G94" i="25"/>
  <c r="I93" i="25"/>
  <c r="X15" i="7"/>
  <c r="O15" i="7" s="1"/>
  <c r="D10" i="33" l="1"/>
  <c r="I13" i="32"/>
  <c r="U14" i="19"/>
  <c r="AF14" i="19" s="1"/>
  <c r="Y15" i="7"/>
  <c r="Y10" i="1"/>
  <c r="S13" i="25"/>
  <c r="AE15" i="7"/>
  <c r="AF15" i="7" s="1"/>
  <c r="G14" i="19"/>
  <c r="AH14" i="19" s="1"/>
  <c r="AD10" i="32" s="1"/>
  <c r="R13" i="25"/>
  <c r="H13" i="32" s="1"/>
  <c r="AI14" i="7"/>
  <c r="AL14" i="7" s="1"/>
  <c r="Q15" i="19"/>
  <c r="U15" i="19" s="1"/>
  <c r="AF15" i="19" s="1"/>
  <c r="Z15" i="7"/>
  <c r="Z4" i="33"/>
  <c r="V16" i="7"/>
  <c r="U16" i="7"/>
  <c r="AC93" i="25"/>
  <c r="W90" i="32"/>
  <c r="AC90" i="32" s="1"/>
  <c r="AJ10" i="19"/>
  <c r="AE9" i="32" s="1"/>
  <c r="AD9" i="33"/>
  <c r="AK9" i="19"/>
  <c r="AN9" i="19"/>
  <c r="AL9" i="19"/>
  <c r="B8" i="33"/>
  <c r="E8" i="33" s="1"/>
  <c r="AE8" i="33" s="1"/>
  <c r="AM9" i="19"/>
  <c r="Z7" i="1"/>
  <c r="AT8" i="19"/>
  <c r="AE8" i="32"/>
  <c r="E7" i="33"/>
  <c r="P7" i="33" s="1"/>
  <c r="AA6" i="1"/>
  <c r="G6" i="33"/>
  <c r="T6" i="33"/>
  <c r="U6" i="33" s="1"/>
  <c r="AA6" i="33" s="1"/>
  <c r="R6" i="33"/>
  <c r="I6" i="33"/>
  <c r="M6" i="33" s="1"/>
  <c r="N6" i="33" s="1"/>
  <c r="Q6" i="33"/>
  <c r="AF6" i="33"/>
  <c r="AE6" i="33"/>
  <c r="AG4" i="33"/>
  <c r="R11" i="32"/>
  <c r="D11" i="33"/>
  <c r="Y11" i="1"/>
  <c r="H14" i="33"/>
  <c r="AI15" i="7"/>
  <c r="AL15" i="7" s="1"/>
  <c r="AM15" i="7"/>
  <c r="X14" i="1" s="1"/>
  <c r="AB14" i="1" s="1"/>
  <c r="S17" i="7"/>
  <c r="U17" i="7" s="1"/>
  <c r="AJ17" i="7"/>
  <c r="I14" i="32"/>
  <c r="AD12" i="25"/>
  <c r="Y13" i="19" s="1"/>
  <c r="AA13" i="19" s="1"/>
  <c r="AC13" i="19" s="1"/>
  <c r="R14" i="25"/>
  <c r="H14" i="32" s="1"/>
  <c r="G95" i="25"/>
  <c r="I94" i="25"/>
  <c r="Y16" i="7"/>
  <c r="AE16" i="7"/>
  <c r="S14" i="25"/>
  <c r="Z16" i="7" l="1"/>
  <c r="U13" i="25"/>
  <c r="AD13" i="25" s="1"/>
  <c r="Y14" i="19" s="1"/>
  <c r="AA14" i="19" s="1"/>
  <c r="AC14" i="19" s="1"/>
  <c r="T17" i="7"/>
  <c r="V17" i="7" s="1"/>
  <c r="AK14" i="7"/>
  <c r="AN14" i="7" s="1"/>
  <c r="B13" i="32" s="1"/>
  <c r="C13" i="32" s="1"/>
  <c r="G13" i="32"/>
  <c r="Q16" i="19"/>
  <c r="I15" i="32" s="1"/>
  <c r="X16" i="7"/>
  <c r="O16" i="7" s="1"/>
  <c r="G15" i="19"/>
  <c r="AH15" i="19" s="1"/>
  <c r="AD11" i="32" s="1"/>
  <c r="F15" i="19"/>
  <c r="Z6" i="33"/>
  <c r="R8" i="33"/>
  <c r="T8" i="33"/>
  <c r="U8" i="33" s="1"/>
  <c r="AA8" i="33" s="1"/>
  <c r="V13" i="32"/>
  <c r="V12" i="32"/>
  <c r="Q12" i="32"/>
  <c r="AC94" i="25"/>
  <c r="W91" i="32"/>
  <c r="AC91" i="32" s="1"/>
  <c r="Q8" i="33"/>
  <c r="AF8" i="33"/>
  <c r="AG8" i="33" s="1"/>
  <c r="P8" i="33"/>
  <c r="G8" i="33"/>
  <c r="I8" i="33"/>
  <c r="M8" i="33" s="1"/>
  <c r="N8" i="33" s="1"/>
  <c r="AJ11" i="19"/>
  <c r="AE10" i="32" s="1"/>
  <c r="AD10" i="33"/>
  <c r="AG6" i="33"/>
  <c r="G7" i="33"/>
  <c r="T7" i="33"/>
  <c r="U7" i="33" s="1"/>
  <c r="AA7" i="33" s="1"/>
  <c r="Q7" i="33"/>
  <c r="I7" i="33"/>
  <c r="M7" i="33" s="1"/>
  <c r="N7" i="33" s="1"/>
  <c r="R7" i="33"/>
  <c r="AF7" i="33"/>
  <c r="AE7" i="33"/>
  <c r="AA7" i="1"/>
  <c r="Z8" i="1"/>
  <c r="AT9" i="19"/>
  <c r="B9" i="33"/>
  <c r="AL10" i="19"/>
  <c r="AK10" i="19"/>
  <c r="AN10" i="19"/>
  <c r="AM10" i="19"/>
  <c r="AK15" i="7"/>
  <c r="AN15" i="7" s="1"/>
  <c r="B14" i="32" s="1"/>
  <c r="C14" i="32" s="1"/>
  <c r="G14" i="32"/>
  <c r="S18" i="7"/>
  <c r="T18" i="7" s="1"/>
  <c r="AJ18" i="7"/>
  <c r="U14" i="25"/>
  <c r="U16" i="19"/>
  <c r="AF16" i="19" s="1"/>
  <c r="R15" i="25"/>
  <c r="H15" i="32" s="1"/>
  <c r="F16" i="19"/>
  <c r="G16" i="19"/>
  <c r="AH16" i="19" s="1"/>
  <c r="G96" i="25"/>
  <c r="G97" i="25" s="1"/>
  <c r="I97" i="25" s="1"/>
  <c r="AC97" i="25" s="1"/>
  <c r="AD97" i="25" s="1"/>
  <c r="Y98" i="19" s="1"/>
  <c r="AA98" i="19" s="1"/>
  <c r="AC98" i="19" s="1"/>
  <c r="I95" i="25"/>
  <c r="S15" i="25"/>
  <c r="Y17" i="7" l="1"/>
  <c r="X17" i="7"/>
  <c r="O17" i="7" s="1"/>
  <c r="AE17" i="7"/>
  <c r="F17" i="19" s="1"/>
  <c r="Q17" i="19"/>
  <c r="I16" i="32" s="1"/>
  <c r="Z17" i="7"/>
  <c r="AM16" i="7"/>
  <c r="X15" i="1" s="1"/>
  <c r="AB15" i="1" s="1"/>
  <c r="AI16" i="7"/>
  <c r="AL16" i="7" s="1"/>
  <c r="U18" i="7"/>
  <c r="H15" i="33"/>
  <c r="AF16" i="7"/>
  <c r="V14" i="32"/>
  <c r="Q13" i="32"/>
  <c r="R13" i="32" s="1"/>
  <c r="Z7" i="33"/>
  <c r="Z8" i="33"/>
  <c r="V18" i="7"/>
  <c r="Y12" i="1"/>
  <c r="R12" i="32"/>
  <c r="D12" i="33"/>
  <c r="AC95" i="25"/>
  <c r="W92" i="32"/>
  <c r="AC92" i="32" s="1"/>
  <c r="I96" i="25"/>
  <c r="AJ98" i="19"/>
  <c r="AK98" i="19" s="1"/>
  <c r="E9" i="33"/>
  <c r="P9" i="33" s="1"/>
  <c r="AA8" i="1"/>
  <c r="AJ12" i="19"/>
  <c r="AD11" i="33"/>
  <c r="Z9" i="1"/>
  <c r="AT10" i="19"/>
  <c r="AG7" i="33"/>
  <c r="AK11" i="19"/>
  <c r="B10" i="33"/>
  <c r="AN11" i="19"/>
  <c r="AM11" i="19"/>
  <c r="AL11" i="19"/>
  <c r="AD12" i="32"/>
  <c r="G15" i="32"/>
  <c r="AI17" i="7"/>
  <c r="AL17" i="7" s="1"/>
  <c r="S19" i="7"/>
  <c r="T19" i="7" s="1"/>
  <c r="AJ19" i="7"/>
  <c r="AD14" i="25"/>
  <c r="Y15" i="19" s="1"/>
  <c r="AA15" i="19" s="1"/>
  <c r="AC15" i="19" s="1"/>
  <c r="AK16" i="7"/>
  <c r="AN16" i="7" s="1"/>
  <c r="B15" i="32" s="1"/>
  <c r="C15" i="32" s="1"/>
  <c r="V15" i="32" s="1"/>
  <c r="R16" i="25"/>
  <c r="H16" i="32" s="1"/>
  <c r="U15" i="25"/>
  <c r="S16" i="25" l="1"/>
  <c r="U16" i="25" s="1"/>
  <c r="AD16" i="25" s="1"/>
  <c r="Y17" i="19" s="1"/>
  <c r="AA17" i="19" s="1"/>
  <c r="AC17" i="19" s="1"/>
  <c r="G17" i="19"/>
  <c r="AH17" i="19" s="1"/>
  <c r="AD13" i="32" s="1"/>
  <c r="Y13" i="1"/>
  <c r="U17" i="19"/>
  <c r="AF17" i="19" s="1"/>
  <c r="AM17" i="7"/>
  <c r="X16" i="1" s="1"/>
  <c r="AB16" i="1" s="1"/>
  <c r="H16" i="33"/>
  <c r="AF17" i="7"/>
  <c r="D13" i="33"/>
  <c r="Z18" i="7"/>
  <c r="Q18" i="19"/>
  <c r="I17" i="32" s="1"/>
  <c r="AE18" i="7"/>
  <c r="Q14" i="32"/>
  <c r="U19" i="7"/>
  <c r="X18" i="7"/>
  <c r="O18" i="7" s="1"/>
  <c r="Y18" i="7"/>
  <c r="AM18" i="7"/>
  <c r="X17" i="1" s="1"/>
  <c r="AB17" i="1" s="1"/>
  <c r="V19" i="7"/>
  <c r="D14" i="33"/>
  <c r="AN98" i="19"/>
  <c r="AT98" i="19" s="1"/>
  <c r="B97" i="33"/>
  <c r="AM98" i="19"/>
  <c r="AL98" i="19"/>
  <c r="W93" i="32"/>
  <c r="AC93" i="32" s="1"/>
  <c r="AC96" i="25"/>
  <c r="AJ13" i="19"/>
  <c r="AE12" i="32" s="1"/>
  <c r="AD12" i="33"/>
  <c r="Z10" i="1"/>
  <c r="AT11" i="19"/>
  <c r="B11" i="33"/>
  <c r="AM12" i="19"/>
  <c r="AK12" i="19"/>
  <c r="AN12" i="19"/>
  <c r="AL12" i="19"/>
  <c r="E10" i="33"/>
  <c r="AA9" i="1"/>
  <c r="AE11" i="32"/>
  <c r="Q9" i="33"/>
  <c r="G9" i="33"/>
  <c r="I9" i="33"/>
  <c r="M9" i="33" s="1"/>
  <c r="N9" i="33" s="1"/>
  <c r="R9" i="33"/>
  <c r="T9" i="33"/>
  <c r="U9" i="33" s="1"/>
  <c r="AA9" i="33" s="1"/>
  <c r="AF9" i="33"/>
  <c r="AE9" i="33"/>
  <c r="Q15" i="32"/>
  <c r="AK17" i="7"/>
  <c r="AN17" i="7" s="1"/>
  <c r="B16" i="32" s="1"/>
  <c r="C16" i="32" s="1"/>
  <c r="S20" i="7"/>
  <c r="T20" i="7" s="1"/>
  <c r="AJ20" i="7"/>
  <c r="AD15" i="25"/>
  <c r="Y16" i="19" s="1"/>
  <c r="AA16" i="19" s="1"/>
  <c r="AC16" i="19" s="1"/>
  <c r="G16" i="32"/>
  <c r="F18" i="19"/>
  <c r="U18" i="19" l="1"/>
  <c r="AF18" i="19" s="1"/>
  <c r="Q19" i="19"/>
  <c r="Z19" i="7"/>
  <c r="AE19" i="7"/>
  <c r="R18" i="25" s="1"/>
  <c r="H18" i="32" s="1"/>
  <c r="H17" i="33"/>
  <c r="S17" i="25"/>
  <c r="X19" i="7"/>
  <c r="O19" i="7" s="1"/>
  <c r="Y19" i="7"/>
  <c r="R17" i="25"/>
  <c r="H17" i="32" s="1"/>
  <c r="G17" i="32" s="1"/>
  <c r="G18" i="19"/>
  <c r="AH18" i="19" s="1"/>
  <c r="R14" i="32"/>
  <c r="Y14" i="1"/>
  <c r="AI18" i="7"/>
  <c r="AL18" i="7" s="1"/>
  <c r="AF18" i="7"/>
  <c r="Z9" i="33"/>
  <c r="V20" i="7"/>
  <c r="AG9" i="33"/>
  <c r="AJ14" i="19"/>
  <c r="AE13" i="32" s="1"/>
  <c r="AD13" i="33"/>
  <c r="T10" i="33"/>
  <c r="U10" i="33" s="1"/>
  <c r="AA10" i="33" s="1"/>
  <c r="G10" i="33"/>
  <c r="AE10" i="33"/>
  <c r="I10" i="33"/>
  <c r="M10" i="33" s="1"/>
  <c r="N10" i="33" s="1"/>
  <c r="R10" i="33"/>
  <c r="AF10" i="33"/>
  <c r="Q10" i="33"/>
  <c r="Z11" i="1"/>
  <c r="AT12" i="19"/>
  <c r="P10" i="33"/>
  <c r="E11" i="33"/>
  <c r="AA10" i="1"/>
  <c r="AK13" i="19"/>
  <c r="B12" i="33"/>
  <c r="AM13" i="19"/>
  <c r="AN13" i="19"/>
  <c r="AL13" i="19"/>
  <c r="AD14" i="32"/>
  <c r="R15" i="32"/>
  <c r="D15" i="33"/>
  <c r="Y15" i="1"/>
  <c r="U20" i="7"/>
  <c r="S21" i="7"/>
  <c r="T21" i="7" s="1"/>
  <c r="AJ21" i="7"/>
  <c r="U19" i="19"/>
  <c r="AF19" i="19" s="1"/>
  <c r="I18" i="32"/>
  <c r="F19" i="19"/>
  <c r="G19" i="19"/>
  <c r="AH19" i="19" s="1"/>
  <c r="S18" i="25" l="1"/>
  <c r="AM19" i="7"/>
  <c r="X18" i="1" s="1"/>
  <c r="AB18" i="1" s="1"/>
  <c r="H18" i="33"/>
  <c r="AI19" i="7"/>
  <c r="AL19" i="7" s="1"/>
  <c r="AF19" i="7"/>
  <c r="U17" i="25"/>
  <c r="AD17" i="25" s="1"/>
  <c r="Y18" i="19" s="1"/>
  <c r="AA18" i="19" s="1"/>
  <c r="AC18" i="19" s="1"/>
  <c r="AE20" i="7"/>
  <c r="F20" i="19" s="1"/>
  <c r="Y20" i="7"/>
  <c r="X20" i="7"/>
  <c r="O20" i="7" s="1"/>
  <c r="AK18" i="7"/>
  <c r="AN18" i="7" s="1"/>
  <c r="B17" i="32" s="1"/>
  <c r="C17" i="32" s="1"/>
  <c r="V17" i="32" s="1"/>
  <c r="Q20" i="19"/>
  <c r="U20" i="19" s="1"/>
  <c r="AF20" i="19" s="1"/>
  <c r="V16" i="32"/>
  <c r="Q16" i="32"/>
  <c r="Z10" i="33"/>
  <c r="V21" i="7"/>
  <c r="U21" i="7"/>
  <c r="Z20" i="7"/>
  <c r="T11" i="33"/>
  <c r="U11" i="33" s="1"/>
  <c r="AA11" i="33" s="1"/>
  <c r="Q11" i="33"/>
  <c r="G11" i="33"/>
  <c r="I11" i="33"/>
  <c r="M11" i="33" s="1"/>
  <c r="N11" i="33" s="1"/>
  <c r="R11" i="33"/>
  <c r="AF11" i="33"/>
  <c r="AE11" i="33"/>
  <c r="AA11" i="1"/>
  <c r="AJ15" i="19"/>
  <c r="AE14" i="32" s="1"/>
  <c r="AD14" i="33"/>
  <c r="AT13" i="19"/>
  <c r="Z12" i="1"/>
  <c r="E12" i="33"/>
  <c r="P12" i="33" s="1"/>
  <c r="P11" i="33"/>
  <c r="AG10" i="33"/>
  <c r="AK14" i="19"/>
  <c r="AM14" i="19"/>
  <c r="AN14" i="19"/>
  <c r="AL14" i="19"/>
  <c r="B13" i="33"/>
  <c r="AD15" i="32"/>
  <c r="G18" i="32"/>
  <c r="S22" i="7"/>
  <c r="T22" i="7" s="1"/>
  <c r="AJ22" i="7"/>
  <c r="AM20" i="7"/>
  <c r="X19" i="1" s="1"/>
  <c r="AB19" i="1" s="1"/>
  <c r="AK19" i="7"/>
  <c r="AN19" i="7" s="1"/>
  <c r="B18" i="32" s="1"/>
  <c r="C18" i="32" s="1"/>
  <c r="U18" i="25"/>
  <c r="S19" i="25"/>
  <c r="AE21" i="7" l="1"/>
  <c r="R20" i="25" s="1"/>
  <c r="H20" i="32" s="1"/>
  <c r="X21" i="7"/>
  <c r="O21" i="7" s="1"/>
  <c r="Y21" i="7"/>
  <c r="R19" i="25"/>
  <c r="H19" i="32" s="1"/>
  <c r="V18" i="32"/>
  <c r="H19" i="33"/>
  <c r="G20" i="19"/>
  <c r="AH20" i="19" s="1"/>
  <c r="AD16" i="32" s="1"/>
  <c r="Q21" i="19"/>
  <c r="U21" i="19" s="1"/>
  <c r="AF21" i="19" s="1"/>
  <c r="Z21" i="7"/>
  <c r="AI20" i="7"/>
  <c r="AL20" i="7" s="1"/>
  <c r="I19" i="32"/>
  <c r="AF20" i="7"/>
  <c r="Y16" i="1"/>
  <c r="R16" i="32"/>
  <c r="D16" i="33"/>
  <c r="Z11" i="33"/>
  <c r="V22" i="7"/>
  <c r="AG11" i="33"/>
  <c r="Q17" i="32"/>
  <c r="U22" i="7"/>
  <c r="AJ16" i="19"/>
  <c r="AE15" i="32" s="1"/>
  <c r="AD15" i="33"/>
  <c r="AA12" i="1"/>
  <c r="E13" i="33"/>
  <c r="P13" i="33" s="1"/>
  <c r="Z13" i="1"/>
  <c r="AT14" i="19"/>
  <c r="AF12" i="33"/>
  <c r="G12" i="33"/>
  <c r="T12" i="33"/>
  <c r="U12" i="33" s="1"/>
  <c r="AA12" i="33" s="1"/>
  <c r="I12" i="33"/>
  <c r="M12" i="33" s="1"/>
  <c r="N12" i="33" s="1"/>
  <c r="R12" i="33"/>
  <c r="Q12" i="33"/>
  <c r="AE12" i="33"/>
  <c r="AK15" i="19"/>
  <c r="AM15" i="19"/>
  <c r="AL15" i="19"/>
  <c r="B14" i="33"/>
  <c r="AN15" i="19"/>
  <c r="S23" i="7"/>
  <c r="T23" i="7" s="1"/>
  <c r="AJ23" i="7"/>
  <c r="H20" i="33"/>
  <c r="AD18" i="25"/>
  <c r="Y19" i="19" s="1"/>
  <c r="AA19" i="19" s="1"/>
  <c r="AC19" i="19" s="1"/>
  <c r="U19" i="25" l="1"/>
  <c r="AM21" i="7"/>
  <c r="X20" i="1" s="1"/>
  <c r="AB20" i="1" s="1"/>
  <c r="AI21" i="7"/>
  <c r="AL21" i="7" s="1"/>
  <c r="AF21" i="7"/>
  <c r="Q18" i="32"/>
  <c r="R18" i="32" s="1"/>
  <c r="S20" i="25"/>
  <c r="U20" i="25" s="1"/>
  <c r="G21" i="19"/>
  <c r="AH21" i="19" s="1"/>
  <c r="AD17" i="32" s="1"/>
  <c r="F21" i="19"/>
  <c r="G19" i="32"/>
  <c r="Y22" i="7"/>
  <c r="I20" i="32"/>
  <c r="G20" i="32" s="1"/>
  <c r="X22" i="7"/>
  <c r="O22" i="7" s="1"/>
  <c r="AK20" i="7"/>
  <c r="AN20" i="7" s="1"/>
  <c r="B19" i="32" s="1"/>
  <c r="C19" i="32" s="1"/>
  <c r="U23" i="7"/>
  <c r="Z22" i="7"/>
  <c r="Q22" i="19"/>
  <c r="I21" i="32" s="1"/>
  <c r="AE22" i="7"/>
  <c r="Z12" i="33"/>
  <c r="V23" i="7"/>
  <c r="Y17" i="1"/>
  <c r="R17" i="32"/>
  <c r="D17" i="33"/>
  <c r="AG12" i="33"/>
  <c r="AJ17" i="19"/>
  <c r="AE16" i="32" s="1"/>
  <c r="AD16" i="33"/>
  <c r="AT15" i="19"/>
  <c r="Z14" i="1"/>
  <c r="E14" i="33"/>
  <c r="AA13" i="1"/>
  <c r="AF13" i="33"/>
  <c r="I13" i="33"/>
  <c r="M13" i="33" s="1"/>
  <c r="N13" i="33" s="1"/>
  <c r="Q13" i="33"/>
  <c r="R13" i="33"/>
  <c r="AE13" i="33"/>
  <c r="G13" i="33"/>
  <c r="T13" i="33"/>
  <c r="U13" i="33" s="1"/>
  <c r="AA13" i="33" s="1"/>
  <c r="AK16" i="19"/>
  <c r="AN16" i="19"/>
  <c r="AL16" i="19"/>
  <c r="AM16" i="19"/>
  <c r="B15" i="33"/>
  <c r="S24" i="7"/>
  <c r="U24" i="7" s="1"/>
  <c r="AJ24" i="7"/>
  <c r="AD19" i="25"/>
  <c r="Y20" i="19" s="1"/>
  <c r="AA20" i="19" s="1"/>
  <c r="AK21" i="7"/>
  <c r="AN21" i="7" s="1"/>
  <c r="B20" i="32" s="1"/>
  <c r="C20" i="32" s="1"/>
  <c r="V20" i="32" s="1"/>
  <c r="D18" i="33" l="1"/>
  <c r="Y18" i="1"/>
  <c r="AM22" i="7"/>
  <c r="X21" i="1" s="1"/>
  <c r="AB21" i="1" s="1"/>
  <c r="AF22" i="7"/>
  <c r="F22" i="19"/>
  <c r="S21" i="25"/>
  <c r="R21" i="25"/>
  <c r="H21" i="32" s="1"/>
  <c r="Y23" i="7"/>
  <c r="G21" i="32"/>
  <c r="AI22" i="7"/>
  <c r="AL22" i="7" s="1"/>
  <c r="AG13" i="33"/>
  <c r="H21" i="33"/>
  <c r="Z23" i="7"/>
  <c r="X23" i="7"/>
  <c r="O23" i="7" s="1"/>
  <c r="Q23" i="19"/>
  <c r="I22" i="32" s="1"/>
  <c r="AE23" i="7"/>
  <c r="AF23" i="7" s="1"/>
  <c r="U22" i="19"/>
  <c r="AF22" i="19" s="1"/>
  <c r="G22" i="19"/>
  <c r="AH22" i="19" s="1"/>
  <c r="AD18" i="32" s="1"/>
  <c r="Z13" i="33"/>
  <c r="T24" i="7"/>
  <c r="V19" i="32"/>
  <c r="Q19" i="32"/>
  <c r="Z15" i="1"/>
  <c r="AT16" i="19"/>
  <c r="R14" i="33"/>
  <c r="AF14" i="33"/>
  <c r="G14" i="33"/>
  <c r="I14" i="33"/>
  <c r="M14" i="33" s="1"/>
  <c r="N14" i="33" s="1"/>
  <c r="AE14" i="33"/>
  <c r="Q14" i="33"/>
  <c r="T14" i="33"/>
  <c r="U14" i="33" s="1"/>
  <c r="AA14" i="33" s="1"/>
  <c r="AA14" i="1"/>
  <c r="AJ18" i="19"/>
  <c r="AD17" i="33"/>
  <c r="E15" i="33"/>
  <c r="P15" i="33" s="1"/>
  <c r="P14" i="33"/>
  <c r="AK17" i="19"/>
  <c r="B16" i="33"/>
  <c r="AM17" i="19"/>
  <c r="AN17" i="19"/>
  <c r="AL17" i="19"/>
  <c r="AC20" i="19"/>
  <c r="Q20" i="32"/>
  <c r="S25" i="7"/>
  <c r="U25" i="7" s="1"/>
  <c r="AJ25" i="7"/>
  <c r="AD20" i="25"/>
  <c r="Y21" i="19" s="1"/>
  <c r="AA21" i="19" s="1"/>
  <c r="AC21" i="19" s="1"/>
  <c r="U23" i="19"/>
  <c r="AF23" i="19" s="1"/>
  <c r="AM23" i="7"/>
  <c r="X22" i="1" s="1"/>
  <c r="AB22" i="1" s="1"/>
  <c r="F23" i="19"/>
  <c r="U21" i="25" l="1"/>
  <c r="G23" i="19"/>
  <c r="AH23" i="19" s="1"/>
  <c r="H22" i="33"/>
  <c r="S22" i="25"/>
  <c r="R22" i="25"/>
  <c r="H22" i="32" s="1"/>
  <c r="AI23" i="7"/>
  <c r="AL23" i="7" s="1"/>
  <c r="AK22" i="7"/>
  <c r="AN22" i="7" s="1"/>
  <c r="B21" i="32" s="1"/>
  <c r="C21" i="32" s="1"/>
  <c r="V21" i="32" s="1"/>
  <c r="AG14" i="33"/>
  <c r="T25" i="7"/>
  <c r="V25" i="7" s="1"/>
  <c r="Z14" i="33"/>
  <c r="V24" i="7"/>
  <c r="Y19" i="1"/>
  <c r="R19" i="32"/>
  <c r="D19" i="33"/>
  <c r="AJ19" i="19"/>
  <c r="AE18" i="32" s="1"/>
  <c r="AD18" i="33"/>
  <c r="Z16" i="1"/>
  <c r="AT17" i="19"/>
  <c r="E16" i="33"/>
  <c r="P16" i="33" s="1"/>
  <c r="B17" i="33"/>
  <c r="AL18" i="19"/>
  <c r="AK18" i="19"/>
  <c r="AN18" i="19"/>
  <c r="AM18" i="19"/>
  <c r="Q15" i="33"/>
  <c r="AF15" i="33"/>
  <c r="G15" i="33"/>
  <c r="I15" i="33"/>
  <c r="M15" i="33" s="1"/>
  <c r="N15" i="33" s="1"/>
  <c r="R15" i="33"/>
  <c r="T15" i="33"/>
  <c r="U15" i="33" s="1"/>
  <c r="AA15" i="33" s="1"/>
  <c r="AE15" i="33"/>
  <c r="AE17" i="32"/>
  <c r="AA15" i="1"/>
  <c r="AD19" i="32"/>
  <c r="G22" i="32"/>
  <c r="R20" i="32"/>
  <c r="D20" i="33"/>
  <c r="Y20" i="1"/>
  <c r="AD21" i="25"/>
  <c r="Y22" i="19" s="1"/>
  <c r="AA22" i="19" s="1"/>
  <c r="S26" i="7"/>
  <c r="U26" i="7" s="1"/>
  <c r="AJ26" i="7"/>
  <c r="AK23" i="7"/>
  <c r="AN23" i="7" s="1"/>
  <c r="B22" i="32" s="1"/>
  <c r="C22" i="32" s="1"/>
  <c r="Z25" i="7" l="1"/>
  <c r="Y25" i="7"/>
  <c r="U22" i="25"/>
  <c r="X25" i="7"/>
  <c r="O25" i="7" s="1"/>
  <c r="Q21" i="32"/>
  <c r="R21" i="32" s="1"/>
  <c r="Z15" i="33"/>
  <c r="T26" i="7"/>
  <c r="V26" i="7" s="1"/>
  <c r="Y24" i="7"/>
  <c r="AE24" i="7"/>
  <c r="Z24" i="7"/>
  <c r="Q24" i="19"/>
  <c r="X24" i="7"/>
  <c r="O24" i="7" s="1"/>
  <c r="Q25" i="19"/>
  <c r="I24" i="32" s="1"/>
  <c r="AE25" i="7"/>
  <c r="G24" i="19"/>
  <c r="AH24" i="19" s="1"/>
  <c r="AD20" i="32" s="1"/>
  <c r="AG15" i="33"/>
  <c r="AJ20" i="19"/>
  <c r="AK20" i="19" s="1"/>
  <c r="AD19" i="33"/>
  <c r="Z17" i="1"/>
  <c r="AT18" i="19"/>
  <c r="E17" i="33"/>
  <c r="P17" i="33" s="1"/>
  <c r="T16" i="33"/>
  <c r="U16" i="33" s="1"/>
  <c r="AA16" i="33" s="1"/>
  <c r="I16" i="33"/>
  <c r="M16" i="33" s="1"/>
  <c r="N16" i="33" s="1"/>
  <c r="Q16" i="33"/>
  <c r="G16" i="33"/>
  <c r="R16" i="33"/>
  <c r="AF16" i="33"/>
  <c r="AE16" i="33"/>
  <c r="AA16" i="1"/>
  <c r="AK19" i="19"/>
  <c r="AM19" i="19"/>
  <c r="AL19" i="19"/>
  <c r="AN19" i="19"/>
  <c r="B18" i="33"/>
  <c r="E18" i="33" s="1"/>
  <c r="AC22" i="19"/>
  <c r="G25" i="19"/>
  <c r="AH25" i="19" s="1"/>
  <c r="S27" i="7"/>
  <c r="U27" i="7" s="1"/>
  <c r="AJ27" i="7"/>
  <c r="H24" i="33"/>
  <c r="AI25" i="7"/>
  <c r="AL25" i="7" s="1"/>
  <c r="AD22" i="25"/>
  <c r="Y23" i="19" s="1"/>
  <c r="AA23" i="19" s="1"/>
  <c r="AC23" i="19" s="1"/>
  <c r="AM25" i="7"/>
  <c r="X24" i="1" s="1"/>
  <c r="AB24" i="1" s="1"/>
  <c r="D21" i="33" l="1"/>
  <c r="Y21" i="1"/>
  <c r="R24" i="25"/>
  <c r="H24" i="32" s="1"/>
  <c r="G24" i="32" s="1"/>
  <c r="S24" i="25"/>
  <c r="F25" i="19"/>
  <c r="AF25" i="7"/>
  <c r="X26" i="7"/>
  <c r="O26" i="7" s="1"/>
  <c r="Z26" i="7"/>
  <c r="U25" i="19"/>
  <c r="AF25" i="19" s="1"/>
  <c r="Z16" i="33"/>
  <c r="Y26" i="7"/>
  <c r="T27" i="7"/>
  <c r="Q26" i="19"/>
  <c r="I25" i="32" s="1"/>
  <c r="AE26" i="7"/>
  <c r="F26" i="19" s="1"/>
  <c r="B19" i="33"/>
  <c r="E19" i="33" s="1"/>
  <c r="V27" i="7"/>
  <c r="H23" i="33"/>
  <c r="AI24" i="7"/>
  <c r="AM24" i="7"/>
  <c r="X23" i="1" s="1"/>
  <c r="AB23" i="1" s="1"/>
  <c r="U24" i="19"/>
  <c r="AF24" i="19" s="1"/>
  <c r="I23" i="32"/>
  <c r="AF24" i="7"/>
  <c r="R23" i="25"/>
  <c r="H23" i="32" s="1"/>
  <c r="V22" i="32"/>
  <c r="F24" i="19"/>
  <c r="S23" i="25"/>
  <c r="AN20" i="19"/>
  <c r="Z19" i="1" s="1"/>
  <c r="AM20" i="19"/>
  <c r="AL20" i="19"/>
  <c r="AE19" i="32"/>
  <c r="AJ21" i="19"/>
  <c r="AE20" i="32" s="1"/>
  <c r="AD20" i="33"/>
  <c r="P18" i="33"/>
  <c r="AF18" i="33"/>
  <c r="G18" i="33"/>
  <c r="R18" i="33"/>
  <c r="Q18" i="33"/>
  <c r="T18" i="33"/>
  <c r="U18" i="33" s="1"/>
  <c r="AA18" i="33" s="1"/>
  <c r="I18" i="33"/>
  <c r="M18" i="33" s="1"/>
  <c r="N18" i="33" s="1"/>
  <c r="AT19" i="19"/>
  <c r="Z18" i="1"/>
  <c r="AG16" i="33"/>
  <c r="R17" i="33"/>
  <c r="T17" i="33"/>
  <c r="U17" i="33" s="1"/>
  <c r="AA17" i="33" s="1"/>
  <c r="Q17" i="33"/>
  <c r="G17" i="33"/>
  <c r="I17" i="33"/>
  <c r="M17" i="33" s="1"/>
  <c r="N17" i="33" s="1"/>
  <c r="AF17" i="33"/>
  <c r="AE17" i="33"/>
  <c r="AA17" i="1"/>
  <c r="AE18" i="33"/>
  <c r="AD21" i="32"/>
  <c r="S28" i="7"/>
  <c r="U28" i="7" s="1"/>
  <c r="AJ28" i="7"/>
  <c r="H25" i="33"/>
  <c r="AI26" i="7"/>
  <c r="AL26" i="7" s="1"/>
  <c r="AK25" i="7"/>
  <c r="AN25" i="7" s="1"/>
  <c r="B24" i="32" s="1"/>
  <c r="C24" i="32" s="1"/>
  <c r="R25" i="25"/>
  <c r="H25" i="32" s="1"/>
  <c r="U24" i="25"/>
  <c r="Y27" i="7"/>
  <c r="X27" i="7"/>
  <c r="O27" i="7" s="1"/>
  <c r="Q27" i="19"/>
  <c r="S25" i="25"/>
  <c r="Z27" i="7"/>
  <c r="G23" i="32" l="1"/>
  <c r="U26" i="19"/>
  <c r="AF26" i="19" s="1"/>
  <c r="G25" i="32"/>
  <c r="AE27" i="7"/>
  <c r="G26" i="19"/>
  <c r="AH26" i="19" s="1"/>
  <c r="AD22" i="32" s="1"/>
  <c r="AG18" i="33"/>
  <c r="AF26" i="7"/>
  <c r="AM26" i="7"/>
  <c r="X25" i="1" s="1"/>
  <c r="AB25" i="1" s="1"/>
  <c r="Z17" i="33"/>
  <c r="Z18" i="33"/>
  <c r="Q22" i="32"/>
  <c r="R22" i="32" s="1"/>
  <c r="V24" i="32"/>
  <c r="AT20" i="19"/>
  <c r="U23" i="25"/>
  <c r="AD23" i="25" s="1"/>
  <c r="Y24" i="19" s="1"/>
  <c r="AA24" i="19" s="1"/>
  <c r="AC24" i="19" s="1"/>
  <c r="AL24" i="7"/>
  <c r="AK24" i="7"/>
  <c r="AN24" i="7" s="1"/>
  <c r="B23" i="32" s="1"/>
  <c r="C23" i="32" s="1"/>
  <c r="T28" i="7"/>
  <c r="AG17" i="33"/>
  <c r="AA18" i="1"/>
  <c r="AJ22" i="19"/>
  <c r="AK22" i="19" s="1"/>
  <c r="AD21" i="33"/>
  <c r="AK21" i="19"/>
  <c r="AN21" i="19"/>
  <c r="B20" i="33"/>
  <c r="E20" i="33" s="1"/>
  <c r="AM21" i="19"/>
  <c r="AL21" i="19"/>
  <c r="P19" i="33"/>
  <c r="AF19" i="33"/>
  <c r="AE19" i="33"/>
  <c r="G19" i="33"/>
  <c r="T19" i="33"/>
  <c r="U19" i="33" s="1"/>
  <c r="AA19" i="33" s="1"/>
  <c r="I19" i="33"/>
  <c r="M19" i="33" s="1"/>
  <c r="N19" i="33" s="1"/>
  <c r="R19" i="33"/>
  <c r="Q19" i="33"/>
  <c r="AA19" i="1"/>
  <c r="G27" i="19"/>
  <c r="AH27" i="19" s="1"/>
  <c r="S29" i="7"/>
  <c r="U29" i="7" s="1"/>
  <c r="AJ29" i="7"/>
  <c r="H26" i="33"/>
  <c r="AI27" i="7"/>
  <c r="AL27" i="7" s="1"/>
  <c r="U27" i="19"/>
  <c r="AF27" i="19" s="1"/>
  <c r="I26" i="32"/>
  <c r="AD24" i="25"/>
  <c r="Y25" i="19" s="1"/>
  <c r="AA25" i="19" s="1"/>
  <c r="AC25" i="19" s="1"/>
  <c r="AM27" i="7"/>
  <c r="X26" i="1" s="1"/>
  <c r="AB26" i="1" s="1"/>
  <c r="AK26" i="7"/>
  <c r="AN26" i="7" s="1"/>
  <c r="B25" i="32" s="1"/>
  <c r="C25" i="32" s="1"/>
  <c r="V25" i="32" s="1"/>
  <c r="U25" i="25"/>
  <c r="F27" i="19"/>
  <c r="S26" i="25"/>
  <c r="Y22" i="1" l="1"/>
  <c r="R26" i="25"/>
  <c r="H26" i="32" s="1"/>
  <c r="G26" i="32" s="1"/>
  <c r="AF27" i="7"/>
  <c r="D22" i="33"/>
  <c r="Z19" i="33"/>
  <c r="Q24" i="32"/>
  <c r="D24" i="33" s="1"/>
  <c r="V28" i="7"/>
  <c r="Q28" i="19" s="1"/>
  <c r="V23" i="32"/>
  <c r="Q23" i="32"/>
  <c r="T29" i="7"/>
  <c r="B21" i="33"/>
  <c r="E21" i="33" s="1"/>
  <c r="AF21" i="33" s="1"/>
  <c r="AN22" i="19"/>
  <c r="AT22" i="19" s="1"/>
  <c r="AL22" i="19"/>
  <c r="AM22" i="19"/>
  <c r="AE21" i="32"/>
  <c r="P20" i="33"/>
  <c r="G20" i="33"/>
  <c r="AE20" i="33"/>
  <c r="Q20" i="33"/>
  <c r="T20" i="33"/>
  <c r="U20" i="33" s="1"/>
  <c r="AA20" i="33" s="1"/>
  <c r="AF20" i="33"/>
  <c r="R20" i="33"/>
  <c r="I20" i="33"/>
  <c r="M20" i="33" s="1"/>
  <c r="N20" i="33" s="1"/>
  <c r="AJ23" i="19"/>
  <c r="AE22" i="32" s="1"/>
  <c r="AD22" i="33"/>
  <c r="AG19" i="33"/>
  <c r="Z20" i="1"/>
  <c r="AT21" i="19"/>
  <c r="AD23" i="32"/>
  <c r="R24" i="32"/>
  <c r="Q25" i="32"/>
  <c r="AK27" i="7"/>
  <c r="AN27" i="7" s="1"/>
  <c r="B26" i="32" s="1"/>
  <c r="C26" i="32" s="1"/>
  <c r="S30" i="7"/>
  <c r="T30" i="7" s="1"/>
  <c r="AJ30" i="7"/>
  <c r="AD25" i="25"/>
  <c r="Y26" i="19" s="1"/>
  <c r="AA26" i="19" s="1"/>
  <c r="Y24" i="1" l="1"/>
  <c r="U26" i="25"/>
  <c r="AD26" i="25" s="1"/>
  <c r="Y27" i="19" s="1"/>
  <c r="AA27" i="19" s="1"/>
  <c r="AC27" i="19" s="1"/>
  <c r="Z20" i="33"/>
  <c r="R21" i="33"/>
  <c r="I27" i="32"/>
  <c r="U28" i="19"/>
  <c r="AF28" i="19" s="1"/>
  <c r="X28" i="7"/>
  <c r="O28" i="7" s="1"/>
  <c r="Z28" i="7"/>
  <c r="Y28" i="7"/>
  <c r="G21" i="33"/>
  <c r="AE28" i="7"/>
  <c r="V30" i="7"/>
  <c r="V29" i="7"/>
  <c r="Q29" i="19" s="1"/>
  <c r="Y23" i="1"/>
  <c r="R23" i="32"/>
  <c r="D23" i="33"/>
  <c r="U30" i="7"/>
  <c r="T21" i="33"/>
  <c r="U21" i="33" s="1"/>
  <c r="AA21" i="33" s="1"/>
  <c r="AE21" i="33"/>
  <c r="AG21" i="33" s="1"/>
  <c r="I21" i="33"/>
  <c r="M21" i="33" s="1"/>
  <c r="N21" i="33" s="1"/>
  <c r="Q21" i="33"/>
  <c r="P21" i="33"/>
  <c r="Z21" i="1"/>
  <c r="AM28" i="7"/>
  <c r="X27" i="1" s="1"/>
  <c r="AB27" i="1" s="1"/>
  <c r="AG20" i="33"/>
  <c r="AJ24" i="19"/>
  <c r="AE23" i="32" s="1"/>
  <c r="AD23" i="33"/>
  <c r="AA20" i="1"/>
  <c r="AK23" i="19"/>
  <c r="AL23" i="19"/>
  <c r="B22" i="33"/>
  <c r="AN23" i="19"/>
  <c r="AM23" i="19"/>
  <c r="Y25" i="1"/>
  <c r="R25" i="32"/>
  <c r="D25" i="33"/>
  <c r="AC26" i="19"/>
  <c r="S31" i="7"/>
  <c r="T31" i="7" s="1"/>
  <c r="AJ31" i="7"/>
  <c r="Y30" i="7"/>
  <c r="X30" i="7" l="1"/>
  <c r="O30" i="7" s="1"/>
  <c r="Y29" i="7"/>
  <c r="Z29" i="7"/>
  <c r="AE30" i="7"/>
  <c r="G30" i="19" s="1"/>
  <c r="AH30" i="19" s="1"/>
  <c r="Z30" i="7"/>
  <c r="U29" i="19"/>
  <c r="AF29" i="19" s="1"/>
  <c r="I28" i="32"/>
  <c r="X29" i="7"/>
  <c r="Z21" i="33"/>
  <c r="Q30" i="19"/>
  <c r="I29" i="32" s="1"/>
  <c r="H27" i="33"/>
  <c r="AI28" i="7"/>
  <c r="V31" i="7"/>
  <c r="AE29" i="7"/>
  <c r="F28" i="19"/>
  <c r="AF28" i="7"/>
  <c r="R27" i="25"/>
  <c r="H27" i="32" s="1"/>
  <c r="G27" i="32" s="1"/>
  <c r="G28" i="19"/>
  <c r="AH28" i="19" s="1"/>
  <c r="AD24" i="32" s="1"/>
  <c r="AD24" i="33" s="1"/>
  <c r="S27" i="25"/>
  <c r="U31" i="7"/>
  <c r="AA21" i="1"/>
  <c r="E22" i="33"/>
  <c r="P22" i="33" s="1"/>
  <c r="AT23" i="19"/>
  <c r="Z22" i="1"/>
  <c r="AK24" i="19"/>
  <c r="AL24" i="19"/>
  <c r="AM24" i="19"/>
  <c r="AN24" i="19"/>
  <c r="B23" i="33"/>
  <c r="E23" i="33" s="1"/>
  <c r="AF23" i="33" s="1"/>
  <c r="S32" i="7"/>
  <c r="T32" i="7" s="1"/>
  <c r="AJ32" i="7"/>
  <c r="R29" i="25"/>
  <c r="H29" i="32" s="1"/>
  <c r="X31" i="7"/>
  <c r="O31" i="7" s="1"/>
  <c r="S29" i="25" l="1"/>
  <c r="F30" i="19"/>
  <c r="AI29" i="7"/>
  <c r="AL29" i="7" s="1"/>
  <c r="O29" i="7"/>
  <c r="U27" i="25"/>
  <c r="AD27" i="25" s="1"/>
  <c r="Y28" i="19" s="1"/>
  <c r="AA28" i="19" s="1"/>
  <c r="AC28" i="19" s="1"/>
  <c r="AF30" i="7"/>
  <c r="AM30" i="7"/>
  <c r="X29" i="1" s="1"/>
  <c r="AB29" i="1" s="1"/>
  <c r="AI30" i="7"/>
  <c r="AL30" i="7" s="1"/>
  <c r="Y31" i="7"/>
  <c r="H29" i="33"/>
  <c r="Z31" i="7"/>
  <c r="AE31" i="7"/>
  <c r="U30" i="19"/>
  <c r="AF30" i="19" s="1"/>
  <c r="Q31" i="19"/>
  <c r="U31" i="19" s="1"/>
  <c r="AF31" i="19" s="1"/>
  <c r="U32" i="7"/>
  <c r="H28" i="33"/>
  <c r="AM29" i="7"/>
  <c r="X28" i="1" s="1"/>
  <c r="AB28" i="1" s="1"/>
  <c r="AM31" i="7"/>
  <c r="X30" i="1" s="1"/>
  <c r="AB30" i="1" s="1"/>
  <c r="AL28" i="7"/>
  <c r="AK28" i="7"/>
  <c r="AN28" i="7" s="1"/>
  <c r="B27" i="32" s="1"/>
  <c r="C27" i="32" s="1"/>
  <c r="I23" i="33"/>
  <c r="M23" i="33" s="1"/>
  <c r="N23" i="33" s="1"/>
  <c r="AJ25" i="19"/>
  <c r="AE24" i="32" s="1"/>
  <c r="V26" i="32"/>
  <c r="Q26" i="32"/>
  <c r="V32" i="7"/>
  <c r="AF29" i="7"/>
  <c r="F29" i="19"/>
  <c r="G29" i="19"/>
  <c r="AH29" i="19" s="1"/>
  <c r="AD25" i="32" s="1"/>
  <c r="R28" i="25"/>
  <c r="H28" i="32" s="1"/>
  <c r="G28" i="32" s="1"/>
  <c r="S28" i="25"/>
  <c r="Q23" i="33"/>
  <c r="G23" i="33"/>
  <c r="AE23" i="33"/>
  <c r="AG23" i="33" s="1"/>
  <c r="G29" i="32"/>
  <c r="AF31" i="7"/>
  <c r="P23" i="33"/>
  <c r="R23" i="33"/>
  <c r="T23" i="33"/>
  <c r="U23" i="33" s="1"/>
  <c r="AA23" i="33" s="1"/>
  <c r="AT24" i="19"/>
  <c r="Z23" i="1"/>
  <c r="AA22" i="1"/>
  <c r="AE22" i="33"/>
  <c r="AF22" i="33"/>
  <c r="R22" i="33"/>
  <c r="I22" i="33"/>
  <c r="M22" i="33" s="1"/>
  <c r="N22" i="33" s="1"/>
  <c r="G22" i="33"/>
  <c r="T22" i="33"/>
  <c r="U22" i="33" s="1"/>
  <c r="AA22" i="33" s="1"/>
  <c r="Q22" i="33"/>
  <c r="AK30" i="7"/>
  <c r="AN30" i="7" s="1"/>
  <c r="B29" i="32" s="1"/>
  <c r="C29" i="32" s="1"/>
  <c r="I30" i="32"/>
  <c r="S33" i="7"/>
  <c r="U33" i="7" s="1"/>
  <c r="AJ33" i="7"/>
  <c r="H30" i="33"/>
  <c r="AI31" i="7"/>
  <c r="AL31" i="7" s="1"/>
  <c r="R30" i="25"/>
  <c r="H30" i="32" s="1"/>
  <c r="U29" i="25"/>
  <c r="AK25" i="19" l="1"/>
  <c r="AK29" i="7"/>
  <c r="AN29" i="7" s="1"/>
  <c r="B28" i="32" s="1"/>
  <c r="C28" i="32" s="1"/>
  <c r="V28" i="32" s="1"/>
  <c r="AL25" i="19"/>
  <c r="Q32" i="19"/>
  <c r="I31" i="32" s="1"/>
  <c r="Z32" i="7"/>
  <c r="X32" i="7"/>
  <c r="O32" i="7" s="1"/>
  <c r="AE32" i="7"/>
  <c r="F32" i="19" s="1"/>
  <c r="Y32" i="7"/>
  <c r="S30" i="25"/>
  <c r="G31" i="19"/>
  <c r="AH31" i="19" s="1"/>
  <c r="AD27" i="32" s="1"/>
  <c r="F31" i="19"/>
  <c r="AD26" i="32"/>
  <c r="AJ27" i="19" s="1"/>
  <c r="B24" i="33"/>
  <c r="E24" i="33" s="1"/>
  <c r="P24" i="33" s="1"/>
  <c r="V27" i="32"/>
  <c r="Z22" i="33"/>
  <c r="Z23" i="33"/>
  <c r="AM25" i="19"/>
  <c r="AN25" i="19"/>
  <c r="Z24" i="1" s="1"/>
  <c r="AJ26" i="19"/>
  <c r="AN26" i="19" s="1"/>
  <c r="AT26" i="19" s="1"/>
  <c r="AD25" i="33"/>
  <c r="U28" i="25"/>
  <c r="AD28" i="25" s="1"/>
  <c r="Y29" i="19" s="1"/>
  <c r="AA29" i="19" s="1"/>
  <c r="AC29" i="19" s="1"/>
  <c r="Y26" i="1"/>
  <c r="R26" i="32"/>
  <c r="D26" i="33"/>
  <c r="V29" i="32"/>
  <c r="T33" i="7"/>
  <c r="G30" i="32"/>
  <c r="AG22" i="33"/>
  <c r="AA23" i="1"/>
  <c r="H31" i="33"/>
  <c r="S34" i="7"/>
  <c r="U34" i="7" s="1"/>
  <c r="AJ34" i="7"/>
  <c r="U30" i="25"/>
  <c r="AK31" i="7"/>
  <c r="AN31" i="7" s="1"/>
  <c r="B30" i="32" s="1"/>
  <c r="C30" i="32" s="1"/>
  <c r="AD29" i="25"/>
  <c r="Y30" i="19" s="1"/>
  <c r="AA30" i="19" s="1"/>
  <c r="AM26" i="19" l="1"/>
  <c r="Q28" i="32"/>
  <c r="R28" i="32" s="1"/>
  <c r="T34" i="7"/>
  <c r="V34" i="7" s="1"/>
  <c r="AM32" i="7"/>
  <c r="X31" i="1" s="1"/>
  <c r="AB31" i="1" s="1"/>
  <c r="AI32" i="7"/>
  <c r="AL32" i="7" s="1"/>
  <c r="AE25" i="32"/>
  <c r="U32" i="19"/>
  <c r="AF32" i="19" s="1"/>
  <c r="S31" i="25"/>
  <c r="AF32" i="7"/>
  <c r="G32" i="19"/>
  <c r="AH32" i="19" s="1"/>
  <c r="R31" i="25"/>
  <c r="H31" i="32" s="1"/>
  <c r="G31" i="32" s="1"/>
  <c r="V30" i="32"/>
  <c r="AD26" i="33"/>
  <c r="B25" i="33"/>
  <c r="E25" i="33" s="1"/>
  <c r="AE25" i="33" s="1"/>
  <c r="Q27" i="32"/>
  <c r="Y27" i="1" s="1"/>
  <c r="Z25" i="1"/>
  <c r="AA25" i="1" s="1"/>
  <c r="AT25" i="19"/>
  <c r="Q29" i="32"/>
  <c r="D29" i="33" s="1"/>
  <c r="Y28" i="1"/>
  <c r="V33" i="7"/>
  <c r="Y33" i="7" s="1"/>
  <c r="AK26" i="19"/>
  <c r="AL26" i="19"/>
  <c r="AA24" i="1"/>
  <c r="AK27" i="19"/>
  <c r="B26" i="33"/>
  <c r="AL27" i="19"/>
  <c r="AN27" i="19"/>
  <c r="AM27" i="19"/>
  <c r="AE26" i="32"/>
  <c r="AJ28" i="19"/>
  <c r="AD27" i="33"/>
  <c r="AF24" i="33"/>
  <c r="R24" i="33"/>
  <c r="I24" i="33"/>
  <c r="M24" i="33" s="1"/>
  <c r="N24" i="33" s="1"/>
  <c r="G24" i="33"/>
  <c r="AE24" i="33"/>
  <c r="Q24" i="33"/>
  <c r="T24" i="33"/>
  <c r="U24" i="33" s="1"/>
  <c r="AA24" i="33" s="1"/>
  <c r="AD28" i="32"/>
  <c r="AC30" i="19"/>
  <c r="Q30" i="32"/>
  <c r="R30" i="32" s="1"/>
  <c r="S35" i="7"/>
  <c r="T35" i="7" s="1"/>
  <c r="AJ35" i="7"/>
  <c r="AD30" i="25"/>
  <c r="Y31" i="19" s="1"/>
  <c r="AA31" i="19" s="1"/>
  <c r="AC31" i="19" s="1"/>
  <c r="D28" i="33" l="1"/>
  <c r="Q25" i="33"/>
  <c r="AG24" i="33"/>
  <c r="R27" i="32"/>
  <c r="AK32" i="7"/>
  <c r="AN32" i="7" s="1"/>
  <c r="B31" i="32" s="1"/>
  <c r="C31" i="32" s="1"/>
  <c r="Y34" i="7"/>
  <c r="U31" i="25"/>
  <c r="Z34" i="7"/>
  <c r="G25" i="33"/>
  <c r="X34" i="7"/>
  <c r="O34" i="7" s="1"/>
  <c r="I25" i="33"/>
  <c r="M25" i="33" s="1"/>
  <c r="N25" i="33" s="1"/>
  <c r="AF25" i="33"/>
  <c r="AG25" i="33" s="1"/>
  <c r="D27" i="33"/>
  <c r="Q34" i="19"/>
  <c r="U34" i="19" s="1"/>
  <c r="AF34" i="19" s="1"/>
  <c r="AE34" i="7"/>
  <c r="F34" i="19" s="1"/>
  <c r="R25" i="33"/>
  <c r="T25" i="33"/>
  <c r="U25" i="33" s="1"/>
  <c r="AA25" i="33" s="1"/>
  <c r="P25" i="33"/>
  <c r="AE33" i="7"/>
  <c r="S32" i="25" s="1"/>
  <c r="Z33" i="7"/>
  <c r="Y29" i="1"/>
  <c r="R29" i="32"/>
  <c r="Z24" i="33"/>
  <c r="Z25" i="33"/>
  <c r="V35" i="7"/>
  <c r="U35" i="7"/>
  <c r="Q33" i="19"/>
  <c r="X33" i="7"/>
  <c r="O33" i="7" s="1"/>
  <c r="R32" i="25"/>
  <c r="H32" i="32" s="1"/>
  <c r="AK28" i="19"/>
  <c r="AN28" i="19"/>
  <c r="AL28" i="19"/>
  <c r="B27" i="33"/>
  <c r="AM28" i="19"/>
  <c r="AJ29" i="19"/>
  <c r="AE28" i="32" s="1"/>
  <c r="AD28" i="33"/>
  <c r="AE27" i="32"/>
  <c r="Z26" i="1"/>
  <c r="AT27" i="19"/>
  <c r="E26" i="33"/>
  <c r="P26" i="33" s="1"/>
  <c r="Y30" i="1"/>
  <c r="D30" i="33"/>
  <c r="AD31" i="25"/>
  <c r="Y32" i="19" s="1"/>
  <c r="AA32" i="19" s="1"/>
  <c r="AC32" i="19" s="1"/>
  <c r="S36" i="7"/>
  <c r="U36" i="7" s="1"/>
  <c r="AJ36" i="7"/>
  <c r="X35" i="7" l="1"/>
  <c r="O35" i="7" s="1"/>
  <c r="H33" i="33"/>
  <c r="S33" i="25"/>
  <c r="G34" i="19"/>
  <c r="AH34" i="19" s="1"/>
  <c r="R33" i="25"/>
  <c r="H33" i="32" s="1"/>
  <c r="T36" i="7"/>
  <c r="AI34" i="7"/>
  <c r="AL34" i="7" s="1"/>
  <c r="I33" i="32"/>
  <c r="AF34" i="7"/>
  <c r="AM34" i="7"/>
  <c r="X33" i="1" s="1"/>
  <c r="AB33" i="1" s="1"/>
  <c r="Y35" i="7"/>
  <c r="Q35" i="19"/>
  <c r="I34" i="32" s="1"/>
  <c r="F33" i="19"/>
  <c r="G33" i="19"/>
  <c r="AH33" i="19" s="1"/>
  <c r="AD29" i="32" s="1"/>
  <c r="AJ30" i="19" s="1"/>
  <c r="Z35" i="7"/>
  <c r="AE35" i="7"/>
  <c r="V36" i="7"/>
  <c r="AM33" i="7"/>
  <c r="X32" i="1" s="1"/>
  <c r="AB32" i="1" s="1"/>
  <c r="AI33" i="7"/>
  <c r="H32" i="33"/>
  <c r="AF33" i="7"/>
  <c r="U33" i="19"/>
  <c r="AF33" i="19" s="1"/>
  <c r="I32" i="32"/>
  <c r="U32" i="25"/>
  <c r="AD32" i="25" s="1"/>
  <c r="Y33" i="19" s="1"/>
  <c r="AA33" i="19" s="1"/>
  <c r="AC33" i="19" s="1"/>
  <c r="G26" i="33"/>
  <c r="R26" i="33"/>
  <c r="T26" i="33"/>
  <c r="U26" i="33" s="1"/>
  <c r="AA26" i="33" s="1"/>
  <c r="I26" i="33"/>
  <c r="M26" i="33" s="1"/>
  <c r="N26" i="33" s="1"/>
  <c r="Q26" i="33"/>
  <c r="AF26" i="33"/>
  <c r="AE26" i="33"/>
  <c r="AA26" i="1"/>
  <c r="E27" i="33"/>
  <c r="P27" i="33" s="1"/>
  <c r="Z27" i="1"/>
  <c r="AT28" i="19"/>
  <c r="AL29" i="19"/>
  <c r="AM29" i="19"/>
  <c r="B28" i="33"/>
  <c r="AN29" i="19"/>
  <c r="AK29" i="19"/>
  <c r="S37" i="7"/>
  <c r="T37" i="7" s="1"/>
  <c r="AJ37" i="7"/>
  <c r="H34" i="33"/>
  <c r="AM35" i="7"/>
  <c r="X34" i="1" s="1"/>
  <c r="AB34" i="1" s="1"/>
  <c r="U35" i="19"/>
  <c r="AF35" i="19" s="1"/>
  <c r="Y36" i="7"/>
  <c r="AE36" i="7"/>
  <c r="Z36" i="7"/>
  <c r="Q36" i="19" l="1"/>
  <c r="X36" i="7"/>
  <c r="O36" i="7" s="1"/>
  <c r="U33" i="25"/>
  <c r="AI35" i="7"/>
  <c r="AL35" i="7" s="1"/>
  <c r="AK34" i="7"/>
  <c r="AN34" i="7" s="1"/>
  <c r="B33" i="32" s="1"/>
  <c r="C33" i="32" s="1"/>
  <c r="G33" i="32"/>
  <c r="G35" i="19"/>
  <c r="AH35" i="19" s="1"/>
  <c r="F35" i="19"/>
  <c r="AD29" i="33"/>
  <c r="AK30" i="19"/>
  <c r="B29" i="33"/>
  <c r="E29" i="33" s="1"/>
  <c r="S34" i="25"/>
  <c r="AD30" i="32"/>
  <c r="AJ31" i="19" s="1"/>
  <c r="AE30" i="32" s="1"/>
  <c r="V31" i="32"/>
  <c r="Q31" i="32"/>
  <c r="Z26" i="33"/>
  <c r="R34" i="25"/>
  <c r="H34" i="32" s="1"/>
  <c r="G34" i="32" s="1"/>
  <c r="AN30" i="19"/>
  <c r="AT30" i="19" s="1"/>
  <c r="AF35" i="7"/>
  <c r="V33" i="32"/>
  <c r="V37" i="7"/>
  <c r="G32" i="32"/>
  <c r="AL33" i="7"/>
  <c r="AK33" i="7"/>
  <c r="AN33" i="7" s="1"/>
  <c r="B32" i="32" s="1"/>
  <c r="C32" i="32" s="1"/>
  <c r="V32" i="32" s="1"/>
  <c r="U37" i="7"/>
  <c r="Q37" i="19" s="1"/>
  <c r="AL30" i="19"/>
  <c r="AM30" i="19"/>
  <c r="AE29" i="32"/>
  <c r="AF36" i="7"/>
  <c r="AT29" i="19"/>
  <c r="Z28" i="1"/>
  <c r="AA27" i="1"/>
  <c r="E28" i="33"/>
  <c r="P28" i="33" s="1"/>
  <c r="AG26" i="33"/>
  <c r="I27" i="33"/>
  <c r="M27" i="33" s="1"/>
  <c r="N27" i="33" s="1"/>
  <c r="T27" i="33"/>
  <c r="U27" i="33" s="1"/>
  <c r="AA27" i="33" s="1"/>
  <c r="R27" i="33"/>
  <c r="AE27" i="33"/>
  <c r="Q27" i="33"/>
  <c r="AF27" i="33"/>
  <c r="G27" i="33"/>
  <c r="AD31" i="32"/>
  <c r="U36" i="19"/>
  <c r="AF36" i="19" s="1"/>
  <c r="I35" i="32"/>
  <c r="H35" i="33"/>
  <c r="AI36" i="7"/>
  <c r="AL36" i="7" s="1"/>
  <c r="AM36" i="7"/>
  <c r="X35" i="1" s="1"/>
  <c r="AB35" i="1" s="1"/>
  <c r="S38" i="7"/>
  <c r="U38" i="7" s="1"/>
  <c r="AJ38" i="7"/>
  <c r="AD33" i="25"/>
  <c r="Y34" i="19" s="1"/>
  <c r="AA34" i="19" s="1"/>
  <c r="AC34" i="19" s="1"/>
  <c r="R35" i="25"/>
  <c r="H35" i="32" s="1"/>
  <c r="F36" i="19"/>
  <c r="G36" i="19"/>
  <c r="AH36" i="19" s="1"/>
  <c r="S35" i="25"/>
  <c r="Z37" i="7" l="1"/>
  <c r="AD30" i="33"/>
  <c r="AK35" i="7"/>
  <c r="AN35" i="7" s="1"/>
  <c r="B34" i="32" s="1"/>
  <c r="C34" i="32" s="1"/>
  <c r="V34" i="32" s="1"/>
  <c r="T38" i="7"/>
  <c r="U34" i="25"/>
  <c r="AD34" i="25" s="1"/>
  <c r="Y35" i="19" s="1"/>
  <c r="AA35" i="19" s="1"/>
  <c r="AC35" i="19" s="1"/>
  <c r="AE37" i="7"/>
  <c r="Z29" i="1"/>
  <c r="AA29" i="1" s="1"/>
  <c r="R31" i="32"/>
  <c r="Y31" i="1"/>
  <c r="D31" i="33"/>
  <c r="Z27" i="33"/>
  <c r="X37" i="7"/>
  <c r="O37" i="7" s="1"/>
  <c r="Y37" i="7"/>
  <c r="Q33" i="32"/>
  <c r="V38" i="7"/>
  <c r="Q32" i="32"/>
  <c r="AG27" i="33"/>
  <c r="AJ32" i="19"/>
  <c r="AE31" i="32" s="1"/>
  <c r="AD31" i="33"/>
  <c r="U35" i="25"/>
  <c r="AD35" i="25" s="1"/>
  <c r="Y36" i="19" s="1"/>
  <c r="AA36" i="19" s="1"/>
  <c r="AC36" i="19" s="1"/>
  <c r="AK31" i="19"/>
  <c r="AL31" i="19"/>
  <c r="B30" i="33"/>
  <c r="AM31" i="19"/>
  <c r="AN31" i="19"/>
  <c r="I28" i="33"/>
  <c r="M28" i="33" s="1"/>
  <c r="N28" i="33" s="1"/>
  <c r="Q28" i="33"/>
  <c r="T28" i="33"/>
  <c r="U28" i="33" s="1"/>
  <c r="AA28" i="33" s="1"/>
  <c r="R28" i="33"/>
  <c r="AF28" i="33"/>
  <c r="G28" i="33"/>
  <c r="AE28" i="33"/>
  <c r="AA28" i="1"/>
  <c r="P29" i="33"/>
  <c r="AF29" i="33"/>
  <c r="AE29" i="33"/>
  <c r="AD32" i="32"/>
  <c r="AK36" i="7"/>
  <c r="AN36" i="7" s="1"/>
  <c r="B35" i="32" s="1"/>
  <c r="C35" i="32" s="1"/>
  <c r="T29" i="33"/>
  <c r="U29" i="33" s="1"/>
  <c r="AA29" i="33" s="1"/>
  <c r="Q29" i="33"/>
  <c r="G29" i="33"/>
  <c r="I29" i="33"/>
  <c r="M29" i="33" s="1"/>
  <c r="N29" i="33" s="1"/>
  <c r="R29" i="33"/>
  <c r="G35" i="32"/>
  <c r="AM37" i="7"/>
  <c r="X36" i="1" s="1"/>
  <c r="AB36" i="1" s="1"/>
  <c r="S39" i="7"/>
  <c r="T39" i="7" s="1"/>
  <c r="AJ39" i="7"/>
  <c r="U37" i="19"/>
  <c r="AF37" i="19" s="1"/>
  <c r="I36" i="32"/>
  <c r="F37" i="19"/>
  <c r="Z38" i="7"/>
  <c r="H36" i="33" l="1"/>
  <c r="AI37" i="7"/>
  <c r="AL37" i="7" s="1"/>
  <c r="AF37" i="7"/>
  <c r="AE38" i="7"/>
  <c r="Q38" i="19"/>
  <c r="I37" i="32" s="1"/>
  <c r="G37" i="19"/>
  <c r="AH37" i="19" s="1"/>
  <c r="S36" i="25"/>
  <c r="X38" i="7"/>
  <c r="O38" i="7" s="1"/>
  <c r="Y38" i="7"/>
  <c r="R36" i="25"/>
  <c r="H36" i="32" s="1"/>
  <c r="G36" i="32" s="1"/>
  <c r="V35" i="32"/>
  <c r="Z29" i="33"/>
  <c r="Z28" i="33"/>
  <c r="R33" i="32"/>
  <c r="D33" i="33"/>
  <c r="Y33" i="1"/>
  <c r="U39" i="7"/>
  <c r="V39" i="7"/>
  <c r="R32" i="32"/>
  <c r="D32" i="33"/>
  <c r="Y32" i="1"/>
  <c r="Q34" i="32"/>
  <c r="Q35" i="32"/>
  <c r="Y35" i="1" s="1"/>
  <c r="AG28" i="33"/>
  <c r="AJ33" i="19"/>
  <c r="AE32" i="32" s="1"/>
  <c r="AD32" i="33"/>
  <c r="Z30" i="1"/>
  <c r="AT31" i="19"/>
  <c r="E30" i="33"/>
  <c r="P30" i="33" s="1"/>
  <c r="AK32" i="19"/>
  <c r="AL32" i="19"/>
  <c r="AM32" i="19"/>
  <c r="B31" i="33"/>
  <c r="AN32" i="19"/>
  <c r="AG29" i="33"/>
  <c r="AD33" i="32"/>
  <c r="S40" i="7"/>
  <c r="T40" i="7" s="1"/>
  <c r="AJ40" i="7"/>
  <c r="U38" i="19"/>
  <c r="AF38" i="19" s="1"/>
  <c r="H37" i="33"/>
  <c r="F38" i="19"/>
  <c r="X39" i="7" l="1"/>
  <c r="O39" i="7" s="1"/>
  <c r="Y39" i="7"/>
  <c r="AM38" i="7"/>
  <c r="X37" i="1" s="1"/>
  <c r="AB37" i="1" s="1"/>
  <c r="AK37" i="7"/>
  <c r="AN37" i="7" s="1"/>
  <c r="B36" i="32" s="1"/>
  <c r="C36" i="32" s="1"/>
  <c r="AF38" i="7"/>
  <c r="S37" i="25"/>
  <c r="AE39" i="7"/>
  <c r="R38" i="25" s="1"/>
  <c r="H38" i="32" s="1"/>
  <c r="G38" i="19"/>
  <c r="AH38" i="19" s="1"/>
  <c r="AD34" i="32" s="1"/>
  <c r="R37" i="25"/>
  <c r="H37" i="32" s="1"/>
  <c r="G37" i="32" s="1"/>
  <c r="AI38" i="7"/>
  <c r="AL38" i="7" s="1"/>
  <c r="U36" i="25"/>
  <c r="AD36" i="25" s="1"/>
  <c r="Y37" i="19" s="1"/>
  <c r="AA37" i="19" s="1"/>
  <c r="AC37" i="19" s="1"/>
  <c r="R35" i="32"/>
  <c r="D35" i="33"/>
  <c r="Q39" i="19"/>
  <c r="U39" i="19" s="1"/>
  <c r="AF39" i="19" s="1"/>
  <c r="Z39" i="7"/>
  <c r="V40" i="7"/>
  <c r="Y34" i="1"/>
  <c r="R34" i="32"/>
  <c r="D34" i="33"/>
  <c r="V36" i="32"/>
  <c r="U40" i="7"/>
  <c r="AF39" i="7"/>
  <c r="E31" i="33"/>
  <c r="P31" i="33" s="1"/>
  <c r="AJ34" i="19"/>
  <c r="AE33" i="32" s="1"/>
  <c r="AD33" i="33"/>
  <c r="AT32" i="19"/>
  <c r="Z31" i="1"/>
  <c r="AF30" i="33"/>
  <c r="G30" i="33"/>
  <c r="R30" i="33"/>
  <c r="I30" i="33"/>
  <c r="M30" i="33" s="1"/>
  <c r="N30" i="33" s="1"/>
  <c r="T30" i="33"/>
  <c r="U30" i="33" s="1"/>
  <c r="AA30" i="33" s="1"/>
  <c r="AE30" i="33"/>
  <c r="Q30" i="33"/>
  <c r="AA30" i="1"/>
  <c r="AK33" i="19"/>
  <c r="AM33" i="19"/>
  <c r="AL33" i="19"/>
  <c r="AN33" i="19"/>
  <c r="B32" i="33"/>
  <c r="H38" i="33"/>
  <c r="AI39" i="7"/>
  <c r="AL39" i="7" s="1"/>
  <c r="S41" i="7"/>
  <c r="T41" i="7" s="1"/>
  <c r="AJ41" i="7"/>
  <c r="AM39" i="7"/>
  <c r="X38" i="1" s="1"/>
  <c r="AB38" i="1" s="1"/>
  <c r="F39" i="19"/>
  <c r="G39" i="19"/>
  <c r="AH39" i="19" s="1"/>
  <c r="AE40" i="7" l="1"/>
  <c r="Y40" i="7"/>
  <c r="I38" i="32"/>
  <c r="G38" i="32" s="1"/>
  <c r="AK38" i="7"/>
  <c r="AN38" i="7" s="1"/>
  <c r="B37" i="32" s="1"/>
  <c r="C37" i="32" s="1"/>
  <c r="V37" i="32" s="1"/>
  <c r="Q40" i="19"/>
  <c r="I39" i="32" s="1"/>
  <c r="S38" i="25"/>
  <c r="U37" i="25"/>
  <c r="AD37" i="25" s="1"/>
  <c r="Y38" i="19" s="1"/>
  <c r="AA38" i="19" s="1"/>
  <c r="AC38" i="19" s="1"/>
  <c r="Q36" i="32"/>
  <c r="R36" i="32" s="1"/>
  <c r="Z40" i="7"/>
  <c r="X40" i="7"/>
  <c r="O40" i="7" s="1"/>
  <c r="Z30" i="33"/>
  <c r="U41" i="7"/>
  <c r="V41" i="7"/>
  <c r="AG30" i="33"/>
  <c r="AT33" i="19"/>
  <c r="Z32" i="1"/>
  <c r="E32" i="33"/>
  <c r="P32" i="33" s="1"/>
  <c r="AK34" i="19"/>
  <c r="AN34" i="19"/>
  <c r="AM34" i="19"/>
  <c r="AL34" i="19"/>
  <c r="B33" i="33"/>
  <c r="AJ35" i="19"/>
  <c r="AE34" i="32" s="1"/>
  <c r="AD34" i="33"/>
  <c r="AA31" i="1"/>
  <c r="AF31" i="33"/>
  <c r="R31" i="33"/>
  <c r="T31" i="33"/>
  <c r="U31" i="33" s="1"/>
  <c r="AA31" i="33" s="1"/>
  <c r="G31" i="33"/>
  <c r="AE31" i="33"/>
  <c r="I31" i="33"/>
  <c r="M31" i="33" s="1"/>
  <c r="N31" i="33" s="1"/>
  <c r="Q31" i="33"/>
  <c r="AD35" i="32"/>
  <c r="AK39" i="7"/>
  <c r="AN39" i="7" s="1"/>
  <c r="B38" i="32" s="1"/>
  <c r="C38" i="32" s="1"/>
  <c r="S42" i="7"/>
  <c r="U42" i="7" s="1"/>
  <c r="AJ42" i="7"/>
  <c r="U40" i="19"/>
  <c r="AF40" i="19" s="1"/>
  <c r="U38" i="25"/>
  <c r="R39" i="25"/>
  <c r="H39" i="32" s="1"/>
  <c r="F40" i="19"/>
  <c r="G40" i="19"/>
  <c r="AH40" i="19" s="1"/>
  <c r="S39" i="25"/>
  <c r="AG31" i="33" l="1"/>
  <c r="Y36" i="1"/>
  <c r="AI40" i="7"/>
  <c r="AL40" i="7" s="1"/>
  <c r="Q37" i="32"/>
  <c r="AE41" i="7"/>
  <c r="R37" i="32"/>
  <c r="AM40" i="7"/>
  <c r="X39" i="1" s="1"/>
  <c r="AB39" i="1" s="1"/>
  <c r="H39" i="33"/>
  <c r="AF40" i="7"/>
  <c r="D36" i="33"/>
  <c r="X41" i="7"/>
  <c r="O41" i="7" s="1"/>
  <c r="Y41" i="7"/>
  <c r="Q41" i="19"/>
  <c r="I40" i="32" s="1"/>
  <c r="V38" i="32"/>
  <c r="Z31" i="33"/>
  <c r="Z41" i="7"/>
  <c r="T42" i="7"/>
  <c r="G39" i="32"/>
  <c r="Q38" i="32"/>
  <c r="Y38" i="1" s="1"/>
  <c r="AF41" i="7"/>
  <c r="AJ36" i="19"/>
  <c r="AE35" i="32" s="1"/>
  <c r="AD35" i="33"/>
  <c r="AK35" i="19"/>
  <c r="AN35" i="19"/>
  <c r="B34" i="33"/>
  <c r="AL35" i="19"/>
  <c r="AM35" i="19"/>
  <c r="E33" i="33"/>
  <c r="P33" i="33" s="1"/>
  <c r="Q32" i="33"/>
  <c r="I32" i="33"/>
  <c r="M32" i="33" s="1"/>
  <c r="N32" i="33" s="1"/>
  <c r="R32" i="33"/>
  <c r="T32" i="33"/>
  <c r="U32" i="33" s="1"/>
  <c r="AA32" i="33" s="1"/>
  <c r="G32" i="33"/>
  <c r="AF32" i="33"/>
  <c r="AE32" i="33"/>
  <c r="AA32" i="1"/>
  <c r="AT34" i="19"/>
  <c r="Z33" i="1"/>
  <c r="AD36" i="32"/>
  <c r="U39" i="25"/>
  <c r="AD39" i="25" s="1"/>
  <c r="Y40" i="19" s="1"/>
  <c r="AA40" i="19" s="1"/>
  <c r="AC40" i="19" s="1"/>
  <c r="AK40" i="7"/>
  <c r="AN40" i="7" s="1"/>
  <c r="B39" i="32" s="1"/>
  <c r="C39" i="32" s="1"/>
  <c r="S43" i="7"/>
  <c r="T43" i="7" s="1"/>
  <c r="AJ43" i="7"/>
  <c r="AI41" i="7"/>
  <c r="AL41" i="7" s="1"/>
  <c r="AD38" i="25"/>
  <c r="Y39" i="19" s="1"/>
  <c r="AA39" i="19" s="1"/>
  <c r="AC39" i="19" s="1"/>
  <c r="F41" i="19"/>
  <c r="R40" i="25"/>
  <c r="H40" i="32" s="1"/>
  <c r="G41" i="19"/>
  <c r="AH41" i="19" s="1"/>
  <c r="S40" i="25"/>
  <c r="Y37" i="1" l="1"/>
  <c r="D37" i="33"/>
  <c r="D38" i="33"/>
  <c r="U41" i="19"/>
  <c r="AF41" i="19" s="1"/>
  <c r="AM41" i="7"/>
  <c r="X40" i="1" s="1"/>
  <c r="AB40" i="1" s="1"/>
  <c r="H40" i="33"/>
  <c r="Z32" i="33"/>
  <c r="V43" i="7"/>
  <c r="V42" i="7"/>
  <c r="Q42" i="19" s="1"/>
  <c r="R38" i="32"/>
  <c r="U43" i="7"/>
  <c r="G40" i="32"/>
  <c r="AG32" i="33"/>
  <c r="AA33" i="1"/>
  <c r="AJ37" i="19"/>
  <c r="AE36" i="32" s="1"/>
  <c r="AD36" i="33"/>
  <c r="E34" i="33"/>
  <c r="P34" i="33" s="1"/>
  <c r="AF33" i="33"/>
  <c r="G33" i="33"/>
  <c r="T33" i="33"/>
  <c r="U33" i="33" s="1"/>
  <c r="AA33" i="33" s="1"/>
  <c r="AE33" i="33"/>
  <c r="I33" i="33"/>
  <c r="M33" i="33" s="1"/>
  <c r="N33" i="33" s="1"/>
  <c r="R33" i="33"/>
  <c r="Q33" i="33"/>
  <c r="Z34" i="1"/>
  <c r="AT35" i="19"/>
  <c r="AK36" i="19"/>
  <c r="B35" i="33"/>
  <c r="AM36" i="19"/>
  <c r="AL36" i="19"/>
  <c r="AN36" i="19"/>
  <c r="AD37" i="32"/>
  <c r="AK41" i="7"/>
  <c r="AN41" i="7" s="1"/>
  <c r="B40" i="32" s="1"/>
  <c r="C40" i="32" s="1"/>
  <c r="S44" i="7"/>
  <c r="T44" i="7" s="1"/>
  <c r="AJ44" i="7"/>
  <c r="U40" i="25"/>
  <c r="AE43" i="7" l="1"/>
  <c r="F43" i="19" s="1"/>
  <c r="Q43" i="19"/>
  <c r="U43" i="19" s="1"/>
  <c r="AF43" i="19" s="1"/>
  <c r="Z43" i="7"/>
  <c r="U44" i="7"/>
  <c r="Z42" i="7"/>
  <c r="V39" i="32"/>
  <c r="Q39" i="32"/>
  <c r="Z33" i="33"/>
  <c r="X43" i="7"/>
  <c r="O43" i="7" s="1"/>
  <c r="Y43" i="7"/>
  <c r="AE42" i="7"/>
  <c r="S41" i="25" s="1"/>
  <c r="V44" i="7"/>
  <c r="I41" i="32"/>
  <c r="U42" i="19"/>
  <c r="AF42" i="19" s="1"/>
  <c r="Y42" i="7"/>
  <c r="X42" i="7"/>
  <c r="O42" i="7" s="1"/>
  <c r="AJ38" i="19"/>
  <c r="AE37" i="32" s="1"/>
  <c r="AD37" i="33"/>
  <c r="E35" i="33"/>
  <c r="P35" i="33" s="1"/>
  <c r="Z35" i="1"/>
  <c r="AT36" i="19"/>
  <c r="AA34" i="1"/>
  <c r="AG33" i="33"/>
  <c r="R34" i="33"/>
  <c r="G34" i="33"/>
  <c r="T34" i="33"/>
  <c r="U34" i="33" s="1"/>
  <c r="AA34" i="33" s="1"/>
  <c r="Q34" i="33"/>
  <c r="I34" i="33"/>
  <c r="M34" i="33" s="1"/>
  <c r="N34" i="33" s="1"/>
  <c r="AF34" i="33"/>
  <c r="AE34" i="33"/>
  <c r="AK37" i="19"/>
  <c r="AM37" i="19"/>
  <c r="AL37" i="19"/>
  <c r="AN37" i="19"/>
  <c r="B36" i="33"/>
  <c r="S45" i="7"/>
  <c r="T45" i="7" s="1"/>
  <c r="AJ45" i="7"/>
  <c r="AI43" i="7"/>
  <c r="AL43" i="7" s="1"/>
  <c r="I42" i="32"/>
  <c r="AD40" i="25"/>
  <c r="Y41" i="19" s="1"/>
  <c r="AA41" i="19" s="1"/>
  <c r="AC41" i="19" s="1"/>
  <c r="R42" i="25"/>
  <c r="H42" i="32" s="1"/>
  <c r="AE44" i="7"/>
  <c r="S42" i="25" l="1"/>
  <c r="U42" i="25" s="1"/>
  <c r="G43" i="19"/>
  <c r="AH43" i="19" s="1"/>
  <c r="X44" i="7"/>
  <c r="O44" i="7" s="1"/>
  <c r="Y44" i="7"/>
  <c r="AF43" i="7"/>
  <c r="Q44" i="19"/>
  <c r="I43" i="32" s="1"/>
  <c r="Z44" i="7"/>
  <c r="AM43" i="7"/>
  <c r="X42" i="1" s="1"/>
  <c r="AB42" i="1" s="1"/>
  <c r="H42" i="33"/>
  <c r="F42" i="19"/>
  <c r="Y39" i="1"/>
  <c r="R39" i="32"/>
  <c r="D39" i="33"/>
  <c r="Z34" i="33"/>
  <c r="U45" i="7"/>
  <c r="Q45" i="19" s="1"/>
  <c r="AF42" i="7"/>
  <c r="V40" i="32"/>
  <c r="R41" i="25"/>
  <c r="G42" i="19"/>
  <c r="AH42" i="19" s="1"/>
  <c r="AD38" i="32" s="1"/>
  <c r="AJ39" i="19" s="1"/>
  <c r="AE38" i="32" s="1"/>
  <c r="V45" i="7"/>
  <c r="AI42" i="7"/>
  <c r="H41" i="33"/>
  <c r="AM42" i="7"/>
  <c r="X41" i="1" s="1"/>
  <c r="AB41" i="1" s="1"/>
  <c r="AT37" i="19"/>
  <c r="Z36" i="1"/>
  <c r="AG34" i="33"/>
  <c r="B37" i="33"/>
  <c r="AL38" i="19"/>
  <c r="AM38" i="19"/>
  <c r="AN38" i="19"/>
  <c r="AK38" i="19"/>
  <c r="E36" i="33"/>
  <c r="P36" i="33" s="1"/>
  <c r="AA35" i="1"/>
  <c r="G35" i="33"/>
  <c r="I35" i="33"/>
  <c r="M35" i="33" s="1"/>
  <c r="N35" i="33" s="1"/>
  <c r="R35" i="33"/>
  <c r="T35" i="33"/>
  <c r="U35" i="33" s="1"/>
  <c r="AA35" i="33" s="1"/>
  <c r="Q35" i="33"/>
  <c r="AF35" i="33"/>
  <c r="AE35" i="33"/>
  <c r="S43" i="25"/>
  <c r="AK43" i="7"/>
  <c r="AN43" i="7" s="1"/>
  <c r="B42" i="32" s="1"/>
  <c r="C42" i="32" s="1"/>
  <c r="S46" i="7"/>
  <c r="T46" i="7" s="1"/>
  <c r="AJ46" i="7"/>
  <c r="U44" i="19"/>
  <c r="AF44" i="19" s="1"/>
  <c r="G42" i="32"/>
  <c r="R43" i="25"/>
  <c r="F44" i="19"/>
  <c r="G44" i="19"/>
  <c r="AH44" i="19" s="1"/>
  <c r="AE45" i="7"/>
  <c r="X45" i="7" l="1"/>
  <c r="O45" i="7" s="1"/>
  <c r="Y45" i="7"/>
  <c r="AI44" i="7"/>
  <c r="AL44" i="7" s="1"/>
  <c r="Z45" i="7"/>
  <c r="AM44" i="7"/>
  <c r="X43" i="1" s="1"/>
  <c r="AB43" i="1" s="1"/>
  <c r="H43" i="33"/>
  <c r="AF44" i="7"/>
  <c r="AD39" i="32"/>
  <c r="AJ40" i="19" s="1"/>
  <c r="AE39" i="32" s="1"/>
  <c r="AD38" i="33"/>
  <c r="Q40" i="32"/>
  <c r="Y40" i="1" s="1"/>
  <c r="Z35" i="33"/>
  <c r="H41" i="32"/>
  <c r="G41" i="32" s="1"/>
  <c r="U41" i="25"/>
  <c r="AD41" i="25" s="1"/>
  <c r="Y42" i="19" s="1"/>
  <c r="AA42" i="19" s="1"/>
  <c r="AC42" i="19" s="1"/>
  <c r="V46" i="7"/>
  <c r="AL42" i="7"/>
  <c r="AK42" i="7"/>
  <c r="AN42" i="7" s="1"/>
  <c r="B41" i="32" s="1"/>
  <c r="C41" i="32" s="1"/>
  <c r="U46" i="7"/>
  <c r="AK44" i="7"/>
  <c r="AN44" i="7" s="1"/>
  <c r="B43" i="32" s="1"/>
  <c r="C43" i="32" s="1"/>
  <c r="V43" i="32" s="1"/>
  <c r="R40" i="32"/>
  <c r="V42" i="32"/>
  <c r="AG35" i="33"/>
  <c r="I36" i="33"/>
  <c r="M36" i="33" s="1"/>
  <c r="N36" i="33" s="1"/>
  <c r="AF36" i="33"/>
  <c r="T36" i="33"/>
  <c r="U36" i="33" s="1"/>
  <c r="AA36" i="33" s="1"/>
  <c r="R36" i="33"/>
  <c r="G36" i="33"/>
  <c r="AE36" i="33"/>
  <c r="AG36" i="33" s="1"/>
  <c r="Q36" i="33"/>
  <c r="AK39" i="19"/>
  <c r="AN39" i="19"/>
  <c r="B38" i="33"/>
  <c r="AM39" i="19"/>
  <c r="AL39" i="19"/>
  <c r="E37" i="33"/>
  <c r="AA36" i="1"/>
  <c r="AT38" i="19"/>
  <c r="Z37" i="1"/>
  <c r="AD40" i="32"/>
  <c r="G45" i="19"/>
  <c r="AH45" i="19" s="1"/>
  <c r="AF45" i="7"/>
  <c r="S47" i="7"/>
  <c r="T47" i="7" s="1"/>
  <c r="AJ47" i="7"/>
  <c r="H44" i="33"/>
  <c r="AI45" i="7"/>
  <c r="AL45" i="7" s="1"/>
  <c r="AD42" i="25"/>
  <c r="Y43" i="19" s="1"/>
  <c r="AA43" i="19" s="1"/>
  <c r="AM45" i="7"/>
  <c r="X44" i="1" s="1"/>
  <c r="AB44" i="1" s="1"/>
  <c r="U45" i="19"/>
  <c r="AF45" i="19" s="1"/>
  <c r="I44" i="32"/>
  <c r="U43" i="25"/>
  <c r="H43" i="32"/>
  <c r="G43" i="32" s="1"/>
  <c r="F45" i="19"/>
  <c r="R44" i="25"/>
  <c r="H44" i="32" s="1"/>
  <c r="S44" i="25"/>
  <c r="X46" i="7" l="1"/>
  <c r="O46" i="7" s="1"/>
  <c r="Y46" i="7"/>
  <c r="Z46" i="7"/>
  <c r="AD39" i="33"/>
  <c r="D40" i="33"/>
  <c r="AE46" i="7"/>
  <c r="G46" i="19" s="1"/>
  <c r="AH46" i="19" s="1"/>
  <c r="Q46" i="19"/>
  <c r="I45" i="32" s="1"/>
  <c r="Z36" i="33"/>
  <c r="V41" i="32"/>
  <c r="Q41" i="32"/>
  <c r="V47" i="7"/>
  <c r="U47" i="7"/>
  <c r="AK45" i="7"/>
  <c r="AN45" i="7" s="1"/>
  <c r="B44" i="32" s="1"/>
  <c r="C44" i="32" s="1"/>
  <c r="V44" i="32" s="1"/>
  <c r="Q42" i="32"/>
  <c r="G37" i="33"/>
  <c r="T37" i="33"/>
  <c r="U37" i="33" s="1"/>
  <c r="AA37" i="33" s="1"/>
  <c r="Q37" i="33"/>
  <c r="I37" i="33"/>
  <c r="M37" i="33" s="1"/>
  <c r="N37" i="33" s="1"/>
  <c r="R37" i="33"/>
  <c r="AF37" i="33"/>
  <c r="AE37" i="33"/>
  <c r="AT39" i="19"/>
  <c r="Z38" i="1"/>
  <c r="AJ41" i="19"/>
  <c r="AE40" i="32" s="1"/>
  <c r="AD40" i="33"/>
  <c r="AA37" i="1"/>
  <c r="P37" i="33"/>
  <c r="E38" i="33"/>
  <c r="P38" i="33" s="1"/>
  <c r="B39" i="33"/>
  <c r="AM40" i="19"/>
  <c r="AK40" i="19"/>
  <c r="AN40" i="19"/>
  <c r="AL40" i="19"/>
  <c r="G44" i="32"/>
  <c r="AD41" i="32"/>
  <c r="AF46" i="7"/>
  <c r="AC43" i="19"/>
  <c r="H45" i="33"/>
  <c r="AM46" i="7"/>
  <c r="X45" i="1" s="1"/>
  <c r="AB45" i="1" s="1"/>
  <c r="S48" i="7"/>
  <c r="U48" i="7" s="1"/>
  <c r="AJ48" i="7"/>
  <c r="U44" i="25"/>
  <c r="U46" i="19"/>
  <c r="AF46" i="19" s="1"/>
  <c r="Q43" i="32"/>
  <c r="AD43" i="25"/>
  <c r="Y44" i="19" s="1"/>
  <c r="AA44" i="19" s="1"/>
  <c r="R45" i="25"/>
  <c r="H45" i="32" s="1"/>
  <c r="S45" i="25"/>
  <c r="T48" i="7"/>
  <c r="AI46" i="7" l="1"/>
  <c r="AL46" i="7" s="1"/>
  <c r="Y47" i="7"/>
  <c r="F46" i="19"/>
  <c r="X47" i="7"/>
  <c r="O47" i="7" s="1"/>
  <c r="Q44" i="32"/>
  <c r="Q47" i="19"/>
  <c r="U47" i="19" s="1"/>
  <c r="AF47" i="19" s="1"/>
  <c r="Z37" i="33"/>
  <c r="Z47" i="7"/>
  <c r="AE47" i="7"/>
  <c r="AF47" i="7" s="1"/>
  <c r="D41" i="33"/>
  <c r="Y41" i="1"/>
  <c r="R41" i="32"/>
  <c r="V48" i="7"/>
  <c r="G45" i="32"/>
  <c r="AG37" i="33"/>
  <c r="Y42" i="1"/>
  <c r="D42" i="33"/>
  <c r="R42" i="32"/>
  <c r="E39" i="33"/>
  <c r="P39" i="33" s="1"/>
  <c r="AJ42" i="19"/>
  <c r="AE41" i="32" s="1"/>
  <c r="AD41" i="33"/>
  <c r="Z39" i="1"/>
  <c r="AT40" i="19"/>
  <c r="G38" i="33"/>
  <c r="Q38" i="33"/>
  <c r="T38" i="33"/>
  <c r="U38" i="33" s="1"/>
  <c r="AA38" i="33" s="1"/>
  <c r="AF38" i="33"/>
  <c r="R38" i="33"/>
  <c r="I38" i="33"/>
  <c r="M38" i="33" s="1"/>
  <c r="N38" i="33" s="1"/>
  <c r="AE38" i="33"/>
  <c r="AK41" i="19"/>
  <c r="AM41" i="19"/>
  <c r="AN41" i="19"/>
  <c r="AL41" i="19"/>
  <c r="B40" i="33"/>
  <c r="AA38" i="1"/>
  <c r="AD42" i="32"/>
  <c r="U45" i="25"/>
  <c r="AD45" i="25" s="1"/>
  <c r="Y46" i="19" s="1"/>
  <c r="AA46" i="19" s="1"/>
  <c r="AC46" i="19" s="1"/>
  <c r="AK46" i="7"/>
  <c r="AN46" i="7" s="1"/>
  <c r="B45" i="32" s="1"/>
  <c r="C45" i="32" s="1"/>
  <c r="AC44" i="19"/>
  <c r="AD44" i="25"/>
  <c r="Y45" i="19" s="1"/>
  <c r="AA45" i="19" s="1"/>
  <c r="AC45" i="19" s="1"/>
  <c r="S49" i="7"/>
  <c r="U49" i="7" s="1"/>
  <c r="AJ49" i="7"/>
  <c r="Y43" i="1"/>
  <c r="D43" i="33"/>
  <c r="R43" i="32"/>
  <c r="Y44" i="1"/>
  <c r="D44" i="33"/>
  <c r="R44" i="32"/>
  <c r="R46" i="25"/>
  <c r="H46" i="32" s="1"/>
  <c r="X48" i="7" l="1"/>
  <c r="O48" i="7" s="1"/>
  <c r="AI47" i="7"/>
  <c r="AL47" i="7" s="1"/>
  <c r="S46" i="25"/>
  <c r="Y48" i="7"/>
  <c r="Z48" i="7"/>
  <c r="Q48" i="19"/>
  <c r="I47" i="32" s="1"/>
  <c r="AE48" i="7"/>
  <c r="AF48" i="7" s="1"/>
  <c r="G47" i="19"/>
  <c r="AH47" i="19" s="1"/>
  <c r="F47" i="19"/>
  <c r="I46" i="32"/>
  <c r="H46" i="33"/>
  <c r="AM47" i="7"/>
  <c r="X46" i="1" s="1"/>
  <c r="AB46" i="1" s="1"/>
  <c r="Z38" i="33"/>
  <c r="T49" i="7"/>
  <c r="G46" i="32"/>
  <c r="V45" i="32"/>
  <c r="AJ43" i="19"/>
  <c r="AK43" i="19" s="1"/>
  <c r="AD42" i="33"/>
  <c r="E40" i="33"/>
  <c r="P40" i="33" s="1"/>
  <c r="AG38" i="33"/>
  <c r="AA39" i="1"/>
  <c r="T39" i="33"/>
  <c r="U39" i="33" s="1"/>
  <c r="AA39" i="33" s="1"/>
  <c r="I39" i="33"/>
  <c r="M39" i="33" s="1"/>
  <c r="N39" i="33" s="1"/>
  <c r="R39" i="33"/>
  <c r="G39" i="33"/>
  <c r="Q39" i="33"/>
  <c r="AF39" i="33"/>
  <c r="AE39" i="33"/>
  <c r="AT41" i="19"/>
  <c r="Z40" i="1"/>
  <c r="B41" i="33"/>
  <c r="AK42" i="19"/>
  <c r="AN42" i="19"/>
  <c r="AL42" i="19"/>
  <c r="AM42" i="19"/>
  <c r="AD43" i="32"/>
  <c r="G48" i="19"/>
  <c r="AH48" i="19" s="1"/>
  <c r="S50" i="7"/>
  <c r="U50" i="7" s="1"/>
  <c r="AJ50" i="7"/>
  <c r="AI48" i="7"/>
  <c r="AL48" i="7" s="1"/>
  <c r="AK47" i="7"/>
  <c r="AN47" i="7" s="1"/>
  <c r="B46" i="32" s="1"/>
  <c r="C46" i="32" s="1"/>
  <c r="V46" i="32" s="1"/>
  <c r="U46" i="25"/>
  <c r="F48" i="19"/>
  <c r="AN43" i="19" l="1"/>
  <c r="U48" i="19"/>
  <c r="AF48" i="19" s="1"/>
  <c r="R47" i="25"/>
  <c r="H47" i="32" s="1"/>
  <c r="G47" i="32" s="1"/>
  <c r="S47" i="25"/>
  <c r="AM48" i="7"/>
  <c r="X47" i="1" s="1"/>
  <c r="AB47" i="1" s="1"/>
  <c r="H47" i="33"/>
  <c r="U47" i="25"/>
  <c r="T50" i="7"/>
  <c r="V50" i="7" s="1"/>
  <c r="Z39" i="33"/>
  <c r="V49" i="7"/>
  <c r="Q49" i="19" s="1"/>
  <c r="B42" i="33"/>
  <c r="E42" i="33" s="1"/>
  <c r="AG39" i="33"/>
  <c r="Q45" i="32"/>
  <c r="AL43" i="19"/>
  <c r="AM43" i="19"/>
  <c r="AE42" i="32"/>
  <c r="Z41" i="1"/>
  <c r="AT42" i="19"/>
  <c r="E41" i="33"/>
  <c r="P41" i="33" s="1"/>
  <c r="AJ44" i="19"/>
  <c r="AK44" i="19" s="1"/>
  <c r="AD43" i="33"/>
  <c r="AA40" i="1"/>
  <c r="AE40" i="33"/>
  <c r="T40" i="33"/>
  <c r="U40" i="33" s="1"/>
  <c r="AA40" i="33" s="1"/>
  <c r="Q40" i="33"/>
  <c r="R40" i="33"/>
  <c r="AF40" i="33"/>
  <c r="I40" i="33"/>
  <c r="M40" i="33" s="1"/>
  <c r="N40" i="33" s="1"/>
  <c r="G40" i="33"/>
  <c r="AD44" i="32"/>
  <c r="Q46" i="32"/>
  <c r="AK48" i="7"/>
  <c r="AN48" i="7" s="1"/>
  <c r="B47" i="32" s="1"/>
  <c r="C47" i="32" s="1"/>
  <c r="Z42" i="1"/>
  <c r="AT43" i="19"/>
  <c r="S51" i="7"/>
  <c r="T51" i="7" s="1"/>
  <c r="AJ51" i="7"/>
  <c r="AD46" i="25"/>
  <c r="Y47" i="19" s="1"/>
  <c r="AA47" i="19" s="1"/>
  <c r="AC47" i="19" s="1"/>
  <c r="AD47" i="25"/>
  <c r="Y48" i="19" s="1"/>
  <c r="AA48" i="19" s="1"/>
  <c r="AC48" i="19" s="1"/>
  <c r="X50" i="7" l="1"/>
  <c r="O50" i="7" s="1"/>
  <c r="Y50" i="7"/>
  <c r="Z50" i="7"/>
  <c r="Z49" i="7"/>
  <c r="Z40" i="33"/>
  <c r="AM50" i="7"/>
  <c r="X49" i="1" s="1"/>
  <c r="AB49" i="1" s="1"/>
  <c r="U51" i="7"/>
  <c r="AE50" i="7"/>
  <c r="Q50" i="19"/>
  <c r="I49" i="32" s="1"/>
  <c r="AE49" i="7"/>
  <c r="S48" i="25" s="1"/>
  <c r="U49" i="19"/>
  <c r="AF49" i="19" s="1"/>
  <c r="I48" i="32"/>
  <c r="V51" i="7"/>
  <c r="Y49" i="7"/>
  <c r="X49" i="7"/>
  <c r="O49" i="7" s="1"/>
  <c r="AM44" i="19"/>
  <c r="D45" i="33"/>
  <c r="Y45" i="1"/>
  <c r="R45" i="32"/>
  <c r="AL44" i="19"/>
  <c r="AN44" i="19"/>
  <c r="Z43" i="1" s="1"/>
  <c r="B43" i="33"/>
  <c r="E43" i="33" s="1"/>
  <c r="AE43" i="32"/>
  <c r="AJ45" i="19"/>
  <c r="AE44" i="32" s="1"/>
  <c r="AD44" i="33"/>
  <c r="AG40" i="33"/>
  <c r="T41" i="33"/>
  <c r="U41" i="33" s="1"/>
  <c r="AA41" i="33" s="1"/>
  <c r="Q41" i="33"/>
  <c r="G41" i="33"/>
  <c r="I41" i="33"/>
  <c r="M41" i="33" s="1"/>
  <c r="N41" i="33" s="1"/>
  <c r="R41" i="33"/>
  <c r="AF41" i="33"/>
  <c r="AE41" i="33"/>
  <c r="AA41" i="1"/>
  <c r="P42" i="33"/>
  <c r="AF42" i="33"/>
  <c r="AE42" i="33"/>
  <c r="Y46" i="1"/>
  <c r="D46" i="33"/>
  <c r="R46" i="32"/>
  <c r="G50" i="19"/>
  <c r="AH50" i="19" s="1"/>
  <c r="T42" i="33"/>
  <c r="U42" i="33" s="1"/>
  <c r="AA42" i="33" s="1"/>
  <c r="G42" i="33"/>
  <c r="I42" i="33"/>
  <c r="M42" i="33" s="1"/>
  <c r="N42" i="33" s="1"/>
  <c r="Q42" i="33"/>
  <c r="R42" i="33"/>
  <c r="AA42" i="1"/>
  <c r="S52" i="7"/>
  <c r="U52" i="7" s="1"/>
  <c r="AJ52" i="7"/>
  <c r="U50" i="19"/>
  <c r="AF50" i="19" s="1"/>
  <c r="H49" i="33"/>
  <c r="R49" i="25"/>
  <c r="H49" i="32" s="1"/>
  <c r="Q51" i="19"/>
  <c r="I50" i="32" s="1"/>
  <c r="Y51" i="7"/>
  <c r="X51" i="7"/>
  <c r="O51" i="7" s="1"/>
  <c r="AI50" i="7" l="1"/>
  <c r="AL50" i="7" s="1"/>
  <c r="F49" i="19"/>
  <c r="AT44" i="19"/>
  <c r="S49" i="25"/>
  <c r="U49" i="25" s="1"/>
  <c r="F50" i="19"/>
  <c r="AF50" i="7"/>
  <c r="G49" i="19"/>
  <c r="AH49" i="19" s="1"/>
  <c r="AD45" i="32" s="1"/>
  <c r="AD45" i="33" s="1"/>
  <c r="Z51" i="7"/>
  <c r="AE51" i="7"/>
  <c r="F51" i="19" s="1"/>
  <c r="T52" i="7"/>
  <c r="V52" i="7" s="1"/>
  <c r="Z42" i="33"/>
  <c r="Z41" i="33"/>
  <c r="R48" i="25"/>
  <c r="AF49" i="7"/>
  <c r="H48" i="33"/>
  <c r="AI49" i="7"/>
  <c r="AM49" i="7"/>
  <c r="X48" i="1" s="1"/>
  <c r="AB48" i="1" s="1"/>
  <c r="U51" i="19"/>
  <c r="AF51" i="19" s="1"/>
  <c r="AF51" i="7"/>
  <c r="AG42" i="33"/>
  <c r="AG41" i="33"/>
  <c r="AK45" i="19"/>
  <c r="B44" i="33"/>
  <c r="AN45" i="19"/>
  <c r="AM45" i="19"/>
  <c r="AL45" i="19"/>
  <c r="P43" i="33"/>
  <c r="AF43" i="33"/>
  <c r="AE43" i="33"/>
  <c r="AD46" i="32"/>
  <c r="G49" i="32"/>
  <c r="G43" i="33"/>
  <c r="Q43" i="33"/>
  <c r="T43" i="33"/>
  <c r="U43" i="33" s="1"/>
  <c r="AA43" i="33" s="1"/>
  <c r="I43" i="33"/>
  <c r="M43" i="33" s="1"/>
  <c r="N43" i="33" s="1"/>
  <c r="R43" i="33"/>
  <c r="AA43" i="1"/>
  <c r="H50" i="33"/>
  <c r="AI51" i="7"/>
  <c r="AL51" i="7" s="1"/>
  <c r="AM51" i="7"/>
  <c r="X50" i="1" s="1"/>
  <c r="AB50" i="1" s="1"/>
  <c r="S53" i="7"/>
  <c r="T53" i="7" s="1"/>
  <c r="AJ53" i="7"/>
  <c r="AJ46" i="19" l="1"/>
  <c r="AE45" i="32" s="1"/>
  <c r="AK50" i="7"/>
  <c r="AN50" i="7" s="1"/>
  <c r="B49" i="32" s="1"/>
  <c r="C49" i="32" s="1"/>
  <c r="G51" i="19"/>
  <c r="AH51" i="19" s="1"/>
  <c r="AD47" i="32" s="1"/>
  <c r="S50" i="25"/>
  <c r="R50" i="25"/>
  <c r="H50" i="32" s="1"/>
  <c r="G50" i="32" s="1"/>
  <c r="Y52" i="7"/>
  <c r="X52" i="7"/>
  <c r="O52" i="7" s="1"/>
  <c r="AE52" i="7"/>
  <c r="F52" i="19" s="1"/>
  <c r="Q52" i="19"/>
  <c r="U52" i="19" s="1"/>
  <c r="AF52" i="19" s="1"/>
  <c r="Z52" i="7"/>
  <c r="Z43" i="33"/>
  <c r="V47" i="32"/>
  <c r="Q47" i="32"/>
  <c r="H48" i="32"/>
  <c r="G48" i="32" s="1"/>
  <c r="U48" i="25"/>
  <c r="AD48" i="25" s="1"/>
  <c r="Y49" i="19" s="1"/>
  <c r="AA49" i="19" s="1"/>
  <c r="AC49" i="19" s="1"/>
  <c r="V53" i="7"/>
  <c r="AL49" i="7"/>
  <c r="AK49" i="7"/>
  <c r="AN49" i="7" s="1"/>
  <c r="B48" i="32" s="1"/>
  <c r="C48" i="32" s="1"/>
  <c r="V49" i="32"/>
  <c r="U53" i="7"/>
  <c r="Z53" i="7" s="1"/>
  <c r="AK51" i="7"/>
  <c r="AN51" i="7" s="1"/>
  <c r="B50" i="32" s="1"/>
  <c r="C50" i="32" s="1"/>
  <c r="AG43" i="33"/>
  <c r="U50" i="25"/>
  <c r="AD50" i="25" s="1"/>
  <c r="Y51" i="19" s="1"/>
  <c r="AA51" i="19" s="1"/>
  <c r="AC51" i="19" s="1"/>
  <c r="AT45" i="19"/>
  <c r="Z44" i="1"/>
  <c r="AL46" i="19"/>
  <c r="AN46" i="19"/>
  <c r="AJ47" i="19"/>
  <c r="AE46" i="32" s="1"/>
  <c r="AD46" i="33"/>
  <c r="E44" i="33"/>
  <c r="P44" i="33" s="1"/>
  <c r="S54" i="7"/>
  <c r="U54" i="7" s="1"/>
  <c r="AJ54" i="7"/>
  <c r="I51" i="32"/>
  <c r="AI52" i="7"/>
  <c r="AL52" i="7" s="1"/>
  <c r="AD49" i="25"/>
  <c r="Y50" i="19" s="1"/>
  <c r="AA50" i="19" s="1"/>
  <c r="AC50" i="19" s="1"/>
  <c r="G52" i="19"/>
  <c r="AH52" i="19" s="1"/>
  <c r="AE53" i="7"/>
  <c r="AM46" i="19" l="1"/>
  <c r="AK46" i="19"/>
  <c r="B45" i="33"/>
  <c r="Q53" i="19"/>
  <c r="I52" i="32" s="1"/>
  <c r="X53" i="7"/>
  <c r="O53" i="7" s="1"/>
  <c r="Y53" i="7"/>
  <c r="AM52" i="7"/>
  <c r="X51" i="1" s="1"/>
  <c r="AB51" i="1" s="1"/>
  <c r="H51" i="33"/>
  <c r="T54" i="7"/>
  <c r="V54" i="7" s="1"/>
  <c r="S51" i="25"/>
  <c r="R51" i="25"/>
  <c r="H51" i="32" s="1"/>
  <c r="G51" i="32" s="1"/>
  <c r="AF52" i="7"/>
  <c r="V50" i="32"/>
  <c r="Q49" i="32"/>
  <c r="Q50" i="32"/>
  <c r="Y50" i="1" s="1"/>
  <c r="R49" i="32"/>
  <c r="D47" i="33"/>
  <c r="R47" i="32"/>
  <c r="Y47" i="1"/>
  <c r="V48" i="32"/>
  <c r="Q48" i="32"/>
  <c r="AK52" i="7"/>
  <c r="AN52" i="7" s="1"/>
  <c r="B51" i="32" s="1"/>
  <c r="C51" i="32" s="1"/>
  <c r="AF53" i="7"/>
  <c r="AJ48" i="19"/>
  <c r="AE47" i="32" s="1"/>
  <c r="AD47" i="33"/>
  <c r="Z45" i="1"/>
  <c r="AT46" i="19"/>
  <c r="AA44" i="1"/>
  <c r="AE44" i="33"/>
  <c r="R44" i="33"/>
  <c r="AF44" i="33"/>
  <c r="T44" i="33"/>
  <c r="U44" i="33" s="1"/>
  <c r="AA44" i="33" s="1"/>
  <c r="Q44" i="33"/>
  <c r="G44" i="33"/>
  <c r="I44" i="33"/>
  <c r="M44" i="33" s="1"/>
  <c r="N44" i="33" s="1"/>
  <c r="AK47" i="19"/>
  <c r="AM47" i="19"/>
  <c r="B46" i="33"/>
  <c r="AL47" i="19"/>
  <c r="AN47" i="19"/>
  <c r="E45" i="33"/>
  <c r="P45" i="33" s="1"/>
  <c r="AD48" i="32"/>
  <c r="U53" i="19"/>
  <c r="AF53" i="19" s="1"/>
  <c r="S55" i="7"/>
  <c r="U55" i="7" s="1"/>
  <c r="AJ55" i="7"/>
  <c r="R52" i="25"/>
  <c r="H52" i="32" s="1"/>
  <c r="F53" i="19"/>
  <c r="G53" i="19"/>
  <c r="AH53" i="19" s="1"/>
  <c r="S52" i="25"/>
  <c r="G52" i="32" l="1"/>
  <c r="AM53" i="7"/>
  <c r="X52" i="1" s="1"/>
  <c r="AB52" i="1" s="1"/>
  <c r="R50" i="32"/>
  <c r="H52" i="33"/>
  <c r="T55" i="7"/>
  <c r="Y54" i="7"/>
  <c r="X54" i="7"/>
  <c r="O54" i="7" s="1"/>
  <c r="Z54" i="7"/>
  <c r="D50" i="33"/>
  <c r="AI53" i="7"/>
  <c r="AL53" i="7" s="1"/>
  <c r="U51" i="25"/>
  <c r="AD51" i="25" s="1"/>
  <c r="Y52" i="19" s="1"/>
  <c r="AA52" i="19" s="1"/>
  <c r="AC52" i="19" s="1"/>
  <c r="D49" i="33"/>
  <c r="Y49" i="1"/>
  <c r="AE54" i="7"/>
  <c r="Q54" i="19"/>
  <c r="I53" i="32" s="1"/>
  <c r="Z44" i="33"/>
  <c r="Q51" i="32"/>
  <c r="V55" i="7"/>
  <c r="Y48" i="1"/>
  <c r="R48" i="32"/>
  <c r="D48" i="33"/>
  <c r="AT47" i="19"/>
  <c r="Z46" i="1"/>
  <c r="E46" i="33"/>
  <c r="P46" i="33" s="1"/>
  <c r="AJ49" i="19"/>
  <c r="AE48" i="32" s="1"/>
  <c r="AD48" i="33"/>
  <c r="I45" i="33"/>
  <c r="M45" i="33" s="1"/>
  <c r="N45" i="33" s="1"/>
  <c r="G45" i="33"/>
  <c r="Q45" i="33"/>
  <c r="T45" i="33"/>
  <c r="U45" i="33" s="1"/>
  <c r="AA45" i="33" s="1"/>
  <c r="R45" i="33"/>
  <c r="AF45" i="33"/>
  <c r="AE45" i="33"/>
  <c r="AG44" i="33"/>
  <c r="AA45" i="1"/>
  <c r="AK48" i="19"/>
  <c r="AM48" i="19"/>
  <c r="B47" i="33"/>
  <c r="AL48" i="19"/>
  <c r="AN48" i="19"/>
  <c r="AD49" i="32"/>
  <c r="S56" i="7"/>
  <c r="U56" i="7" s="1"/>
  <c r="AJ56" i="7"/>
  <c r="U52" i="25"/>
  <c r="R53" i="25"/>
  <c r="H53" i="32" s="1"/>
  <c r="F54" i="19"/>
  <c r="G54" i="19"/>
  <c r="AH54" i="19" s="1"/>
  <c r="S53" i="25"/>
  <c r="Z55" i="7"/>
  <c r="X55" i="7" l="1"/>
  <c r="O55" i="7" s="1"/>
  <c r="T56" i="7"/>
  <c r="AK53" i="7"/>
  <c r="AN53" i="7" s="1"/>
  <c r="B52" i="32" s="1"/>
  <c r="C52" i="32" s="1"/>
  <c r="V52" i="32" s="1"/>
  <c r="U54" i="19"/>
  <c r="AF54" i="19" s="1"/>
  <c r="AI54" i="7"/>
  <c r="AL54" i="7" s="1"/>
  <c r="AF54" i="7"/>
  <c r="Y55" i="7"/>
  <c r="Q55" i="19"/>
  <c r="I54" i="32" s="1"/>
  <c r="AM54" i="7"/>
  <c r="X53" i="1" s="1"/>
  <c r="AB53" i="1" s="1"/>
  <c r="H53" i="33"/>
  <c r="AE55" i="7"/>
  <c r="S54" i="25" s="1"/>
  <c r="V51" i="32"/>
  <c r="Z45" i="33"/>
  <c r="R51" i="32"/>
  <c r="D51" i="33"/>
  <c r="Y51" i="1"/>
  <c r="V56" i="7"/>
  <c r="G53" i="32"/>
  <c r="AJ50" i="19"/>
  <c r="AE49" i="32" s="1"/>
  <c r="AD49" i="33"/>
  <c r="AT48" i="19"/>
  <c r="Z47" i="1"/>
  <c r="E47" i="33"/>
  <c r="P47" i="33" s="1"/>
  <c r="AG45" i="33"/>
  <c r="AK49" i="19"/>
  <c r="B48" i="33"/>
  <c r="E48" i="33" s="1"/>
  <c r="AE48" i="33" s="1"/>
  <c r="AN49" i="19"/>
  <c r="AM49" i="19"/>
  <c r="AL49" i="19"/>
  <c r="G46" i="33"/>
  <c r="I46" i="33"/>
  <c r="M46" i="33" s="1"/>
  <c r="N46" i="33" s="1"/>
  <c r="Q46" i="33"/>
  <c r="T46" i="33"/>
  <c r="U46" i="33" s="1"/>
  <c r="AA46" i="33" s="1"/>
  <c r="R46" i="33"/>
  <c r="AF46" i="33"/>
  <c r="AE46" i="33"/>
  <c r="AA46" i="1"/>
  <c r="AD50" i="32"/>
  <c r="S57" i="7"/>
  <c r="U57" i="7" s="1"/>
  <c r="AJ57" i="7"/>
  <c r="H54" i="33"/>
  <c r="AI55" i="7"/>
  <c r="AL55" i="7" s="1"/>
  <c r="U55" i="19"/>
  <c r="AF55" i="19" s="1"/>
  <c r="AM55" i="7"/>
  <c r="X54" i="1" s="1"/>
  <c r="AB54" i="1" s="1"/>
  <c r="U53" i="25"/>
  <c r="G48" i="33"/>
  <c r="AD52" i="25"/>
  <c r="Y53" i="19" s="1"/>
  <c r="AA53" i="19" s="1"/>
  <c r="AC53" i="19" s="1"/>
  <c r="F55" i="19"/>
  <c r="X56" i="7"/>
  <c r="O56" i="7" s="1"/>
  <c r="Y56" i="7" l="1"/>
  <c r="AF55" i="7"/>
  <c r="AK54" i="7"/>
  <c r="AN54" i="7" s="1"/>
  <c r="B53" i="32" s="1"/>
  <c r="C53" i="32" s="1"/>
  <c r="G55" i="19"/>
  <c r="AH55" i="19" s="1"/>
  <c r="AD51" i="32" s="1"/>
  <c r="R54" i="25"/>
  <c r="H54" i="32" s="1"/>
  <c r="G54" i="32" s="1"/>
  <c r="Z56" i="7"/>
  <c r="Q56" i="19"/>
  <c r="U56" i="19" s="1"/>
  <c r="AF56" i="19" s="1"/>
  <c r="AE56" i="7"/>
  <c r="F56" i="19" s="1"/>
  <c r="R48" i="33"/>
  <c r="Q48" i="33"/>
  <c r="Z46" i="33"/>
  <c r="Q52" i="32"/>
  <c r="T48" i="33"/>
  <c r="U48" i="33" s="1"/>
  <c r="AA48" i="33" s="1"/>
  <c r="I48" i="33"/>
  <c r="M48" i="33" s="1"/>
  <c r="N48" i="33" s="1"/>
  <c r="T57" i="7"/>
  <c r="AF48" i="33"/>
  <c r="AG48" i="33" s="1"/>
  <c r="AK55" i="7"/>
  <c r="AN55" i="7" s="1"/>
  <c r="B54" i="32" s="1"/>
  <c r="C54" i="32" s="1"/>
  <c r="P48" i="33"/>
  <c r="AJ51" i="19"/>
  <c r="AE50" i="32" s="1"/>
  <c r="AD50" i="33"/>
  <c r="AG46" i="33"/>
  <c r="T47" i="33"/>
  <c r="U47" i="33" s="1"/>
  <c r="AA47" i="33" s="1"/>
  <c r="I47" i="33"/>
  <c r="M47" i="33" s="1"/>
  <c r="N47" i="33" s="1"/>
  <c r="Q47" i="33"/>
  <c r="AF47" i="33"/>
  <c r="G47" i="33"/>
  <c r="R47" i="33"/>
  <c r="AE47" i="33"/>
  <c r="AK50" i="19"/>
  <c r="AM50" i="19"/>
  <c r="AN50" i="19"/>
  <c r="B49" i="33"/>
  <c r="E49" i="33" s="1"/>
  <c r="AF49" i="33" s="1"/>
  <c r="AL50" i="19"/>
  <c r="AT49" i="19"/>
  <c r="Z48" i="1"/>
  <c r="AA47" i="1"/>
  <c r="H55" i="33"/>
  <c r="AI56" i="7"/>
  <c r="AL56" i="7" s="1"/>
  <c r="AD53" i="25"/>
  <c r="Y54" i="19" s="1"/>
  <c r="AA54" i="19" s="1"/>
  <c r="AC54" i="19" s="1"/>
  <c r="S58" i="7"/>
  <c r="U58" i="7" s="1"/>
  <c r="AJ58" i="7"/>
  <c r="I55" i="32"/>
  <c r="AM56" i="7"/>
  <c r="X55" i="1" s="1"/>
  <c r="AB55" i="1" s="1"/>
  <c r="U54" i="25" l="1"/>
  <c r="AD54" i="25" s="1"/>
  <c r="Y55" i="19" s="1"/>
  <c r="AA55" i="19" s="1"/>
  <c r="AC55" i="19" s="1"/>
  <c r="AF56" i="7"/>
  <c r="G56" i="19"/>
  <c r="AH56" i="19" s="1"/>
  <c r="R55" i="25"/>
  <c r="H55" i="32" s="1"/>
  <c r="G55" i="32" s="1"/>
  <c r="S55" i="25"/>
  <c r="V54" i="32"/>
  <c r="G49" i="33"/>
  <c r="P49" i="33"/>
  <c r="T58" i="7"/>
  <c r="Z48" i="33"/>
  <c r="Z47" i="33"/>
  <c r="R52" i="32"/>
  <c r="Y52" i="1"/>
  <c r="D52" i="33"/>
  <c r="V53" i="32"/>
  <c r="Q53" i="32"/>
  <c r="V58" i="7"/>
  <c r="V57" i="7"/>
  <c r="AK56" i="7"/>
  <c r="AN56" i="7" s="1"/>
  <c r="B55" i="32" s="1"/>
  <c r="C55" i="32" s="1"/>
  <c r="Q54" i="32"/>
  <c r="R54" i="32" s="1"/>
  <c r="I49" i="33"/>
  <c r="M49" i="33" s="1"/>
  <c r="N49" i="33" s="1"/>
  <c r="AE49" i="33"/>
  <c r="AG47" i="33"/>
  <c r="AJ52" i="19"/>
  <c r="AE51" i="32" s="1"/>
  <c r="AD51" i="33"/>
  <c r="AG49" i="33"/>
  <c r="Q49" i="33"/>
  <c r="R49" i="33"/>
  <c r="T49" i="33"/>
  <c r="U49" i="33" s="1"/>
  <c r="AA49" i="33" s="1"/>
  <c r="AA48" i="1"/>
  <c r="AT50" i="19"/>
  <c r="Z49" i="1"/>
  <c r="AK51" i="19"/>
  <c r="B50" i="33"/>
  <c r="AL51" i="19"/>
  <c r="AN51" i="19"/>
  <c r="AM51" i="19"/>
  <c r="AD52" i="32"/>
  <c r="S59" i="7"/>
  <c r="U59" i="7" s="1"/>
  <c r="AJ59" i="7"/>
  <c r="Y58" i="7"/>
  <c r="X58" i="7" l="1"/>
  <c r="O58" i="7" s="1"/>
  <c r="Y54" i="1"/>
  <c r="Z58" i="7"/>
  <c r="AE58" i="7"/>
  <c r="G58" i="19" s="1"/>
  <c r="AH58" i="19" s="1"/>
  <c r="Q58" i="19"/>
  <c r="I57" i="32" s="1"/>
  <c r="U55" i="25"/>
  <c r="AD55" i="25" s="1"/>
  <c r="Y56" i="19" s="1"/>
  <c r="AA56" i="19" s="1"/>
  <c r="AC56" i="19" s="1"/>
  <c r="D54" i="33"/>
  <c r="Z49" i="33"/>
  <c r="Y53" i="1"/>
  <c r="R53" i="32"/>
  <c r="D53" i="33"/>
  <c r="Y57" i="7"/>
  <c r="AE57" i="7"/>
  <c r="Q57" i="19"/>
  <c r="Z57" i="7"/>
  <c r="X57" i="7"/>
  <c r="O57" i="7" s="1"/>
  <c r="T59" i="7"/>
  <c r="Z50" i="1"/>
  <c r="AT51" i="19"/>
  <c r="E50" i="33"/>
  <c r="P50" i="33" s="1"/>
  <c r="AA49" i="1"/>
  <c r="AJ53" i="19"/>
  <c r="AE52" i="32" s="1"/>
  <c r="AD52" i="33"/>
  <c r="AK52" i="19"/>
  <c r="B51" i="33"/>
  <c r="AN52" i="19"/>
  <c r="AM52" i="19"/>
  <c r="AL52" i="19"/>
  <c r="U58" i="19"/>
  <c r="AF58" i="19" s="1"/>
  <c r="S60" i="7"/>
  <c r="T60" i="7" s="1"/>
  <c r="AJ60" i="7"/>
  <c r="H57" i="33"/>
  <c r="AM58" i="7"/>
  <c r="X57" i="1" s="1"/>
  <c r="AB57" i="1" s="1"/>
  <c r="R57" i="25"/>
  <c r="H57" i="32" s="1"/>
  <c r="F58" i="19"/>
  <c r="S57" i="25"/>
  <c r="AI58" i="7" l="1"/>
  <c r="AL58" i="7" s="1"/>
  <c r="AF58" i="7"/>
  <c r="G57" i="32"/>
  <c r="V60" i="7"/>
  <c r="H56" i="33"/>
  <c r="AI57" i="7"/>
  <c r="AM57" i="7"/>
  <c r="X56" i="1" s="1"/>
  <c r="AB56" i="1" s="1"/>
  <c r="U57" i="19"/>
  <c r="AF57" i="19" s="1"/>
  <c r="I56" i="32"/>
  <c r="V59" i="7"/>
  <c r="Y59" i="7" s="1"/>
  <c r="G57" i="19"/>
  <c r="AH57" i="19" s="1"/>
  <c r="AD53" i="32" s="1"/>
  <c r="AD53" i="33" s="1"/>
  <c r="AF57" i="7"/>
  <c r="F57" i="19"/>
  <c r="R56" i="25"/>
  <c r="H56" i="32" s="1"/>
  <c r="S56" i="25"/>
  <c r="U60" i="7"/>
  <c r="Z60" i="7" s="1"/>
  <c r="Z51" i="1"/>
  <c r="AT52" i="19"/>
  <c r="AK53" i="19"/>
  <c r="AM53" i="19"/>
  <c r="B52" i="33"/>
  <c r="AN53" i="19"/>
  <c r="AL53" i="19"/>
  <c r="E51" i="33"/>
  <c r="P51" i="33" s="1"/>
  <c r="I50" i="33"/>
  <c r="M50" i="33" s="1"/>
  <c r="N50" i="33" s="1"/>
  <c r="Q50" i="33"/>
  <c r="G50" i="33"/>
  <c r="T50" i="33"/>
  <c r="U50" i="33" s="1"/>
  <c r="AA50" i="33" s="1"/>
  <c r="R50" i="33"/>
  <c r="AF50" i="33"/>
  <c r="AE50" i="33"/>
  <c r="AA50" i="1"/>
  <c r="AD54" i="32"/>
  <c r="U57" i="25"/>
  <c r="AD57" i="25" s="1"/>
  <c r="Y58" i="19" s="1"/>
  <c r="AA58" i="19" s="1"/>
  <c r="AC58" i="19" s="1"/>
  <c r="S61" i="7"/>
  <c r="T61" i="7" s="1"/>
  <c r="AJ61" i="7"/>
  <c r="Y60" i="7"/>
  <c r="AE60" i="7"/>
  <c r="X60" i="7"/>
  <c r="O60" i="7" s="1"/>
  <c r="Q60" i="19" l="1"/>
  <c r="I59" i="32" s="1"/>
  <c r="AK58" i="7"/>
  <c r="AN58" i="7" s="1"/>
  <c r="B57" i="32" s="1"/>
  <c r="C57" i="32" s="1"/>
  <c r="V57" i="32" s="1"/>
  <c r="AJ54" i="19"/>
  <c r="AE53" i="32" s="1"/>
  <c r="X59" i="7"/>
  <c r="O59" i="7" s="1"/>
  <c r="Z50" i="33"/>
  <c r="Q59" i="19"/>
  <c r="U59" i="19" s="1"/>
  <c r="AF59" i="19" s="1"/>
  <c r="U56" i="25"/>
  <c r="AD56" i="25" s="1"/>
  <c r="Y57" i="19" s="1"/>
  <c r="AA57" i="19" s="1"/>
  <c r="AC57" i="19" s="1"/>
  <c r="G56" i="32"/>
  <c r="V55" i="32"/>
  <c r="Q55" i="32"/>
  <c r="AE59" i="7"/>
  <c r="Z59" i="7"/>
  <c r="AL57" i="7"/>
  <c r="AK57" i="7"/>
  <c r="AN57" i="7" s="1"/>
  <c r="B56" i="32" s="1"/>
  <c r="C56" i="32" s="1"/>
  <c r="V56" i="32" s="1"/>
  <c r="V61" i="7"/>
  <c r="U61" i="7"/>
  <c r="AJ55" i="19"/>
  <c r="AE54" i="32" s="1"/>
  <c r="AD54" i="33"/>
  <c r="AG50" i="33"/>
  <c r="T51" i="33"/>
  <c r="U51" i="33" s="1"/>
  <c r="AA51" i="33" s="1"/>
  <c r="I51" i="33"/>
  <c r="M51" i="33" s="1"/>
  <c r="N51" i="33" s="1"/>
  <c r="R51" i="33"/>
  <c r="G51" i="33"/>
  <c r="Q51" i="33"/>
  <c r="AF51" i="33"/>
  <c r="AE51" i="33"/>
  <c r="E52" i="33"/>
  <c r="P52" i="33" s="1"/>
  <c r="AA51" i="1"/>
  <c r="AT53" i="19"/>
  <c r="Z52" i="1"/>
  <c r="AM54" i="19"/>
  <c r="AK54" i="19"/>
  <c r="B53" i="33"/>
  <c r="AN54" i="19"/>
  <c r="AL54" i="19"/>
  <c r="S59" i="25"/>
  <c r="AF60" i="7"/>
  <c r="U60" i="19"/>
  <c r="AF60" i="19" s="1"/>
  <c r="S62" i="7"/>
  <c r="U62" i="7" s="1"/>
  <c r="AJ62" i="7"/>
  <c r="H59" i="33"/>
  <c r="AI60" i="7"/>
  <c r="AL60" i="7" s="1"/>
  <c r="AM60" i="7"/>
  <c r="X59" i="1" s="1"/>
  <c r="AB59" i="1" s="1"/>
  <c r="R59" i="25"/>
  <c r="F60" i="19"/>
  <c r="G60" i="19"/>
  <c r="AH60" i="19" s="1"/>
  <c r="AE61" i="7"/>
  <c r="AM59" i="7" l="1"/>
  <c r="X58" i="1" s="1"/>
  <c r="AB58" i="1" s="1"/>
  <c r="X61" i="7"/>
  <c r="O61" i="7" s="1"/>
  <c r="Y61" i="7"/>
  <c r="Q57" i="32"/>
  <c r="R57" i="32" s="1"/>
  <c r="H58" i="33"/>
  <c r="Z61" i="7"/>
  <c r="AI59" i="7"/>
  <c r="AL59" i="7" s="1"/>
  <c r="AK59" i="7"/>
  <c r="AN59" i="7" s="1"/>
  <c r="B58" i="32" s="1"/>
  <c r="C58" i="32" s="1"/>
  <c r="V58" i="32" s="1"/>
  <c r="I58" i="32"/>
  <c r="Q61" i="19"/>
  <c r="I60" i="32" s="1"/>
  <c r="Z51" i="33"/>
  <c r="Q56" i="32"/>
  <c r="R56" i="32" s="1"/>
  <c r="F59" i="19"/>
  <c r="S58" i="25"/>
  <c r="R58" i="25"/>
  <c r="H58" i="32" s="1"/>
  <c r="G59" i="19"/>
  <c r="AH59" i="19" s="1"/>
  <c r="AD55" i="32" s="1"/>
  <c r="AJ56" i="19" s="1"/>
  <c r="AE55" i="32" s="1"/>
  <c r="R55" i="32"/>
  <c r="D55" i="33"/>
  <c r="Y55" i="1"/>
  <c r="AF59" i="7"/>
  <c r="T62" i="7"/>
  <c r="Y56" i="1"/>
  <c r="AG51" i="33"/>
  <c r="E53" i="33"/>
  <c r="P53" i="33" s="1"/>
  <c r="Z53" i="1"/>
  <c r="AT54" i="19"/>
  <c r="AA52" i="1"/>
  <c r="T52" i="33"/>
  <c r="U52" i="33" s="1"/>
  <c r="AA52" i="33" s="1"/>
  <c r="I52" i="33"/>
  <c r="M52" i="33" s="1"/>
  <c r="N52" i="33" s="1"/>
  <c r="AF52" i="33"/>
  <c r="Q52" i="33"/>
  <c r="R52" i="33"/>
  <c r="G52" i="33"/>
  <c r="AE52" i="33"/>
  <c r="AK55" i="19"/>
  <c r="AM55" i="19"/>
  <c r="B54" i="33"/>
  <c r="AL55" i="19"/>
  <c r="AN55" i="19"/>
  <c r="Y57" i="1"/>
  <c r="D57" i="33"/>
  <c r="AK60" i="7"/>
  <c r="AN60" i="7" s="1"/>
  <c r="B59" i="32" s="1"/>
  <c r="C59" i="32" s="1"/>
  <c r="V59" i="32" s="1"/>
  <c r="G61" i="19"/>
  <c r="AH61" i="19" s="1"/>
  <c r="U61" i="19"/>
  <c r="AF61" i="19" s="1"/>
  <c r="S63" i="7"/>
  <c r="U63" i="7" s="1"/>
  <c r="AJ63" i="7"/>
  <c r="AI61" i="7"/>
  <c r="AL61" i="7" s="1"/>
  <c r="U59" i="25"/>
  <c r="H59" i="32"/>
  <c r="R60" i="25"/>
  <c r="H60" i="32" s="1"/>
  <c r="F61" i="19"/>
  <c r="S60" i="25"/>
  <c r="U60" i="25" l="1"/>
  <c r="H60" i="33"/>
  <c r="AF61" i="7"/>
  <c r="AM61" i="7"/>
  <c r="X60" i="1" s="1"/>
  <c r="AB60" i="1" s="1"/>
  <c r="AG52" i="33"/>
  <c r="AD56" i="32"/>
  <c r="AD56" i="33" s="1"/>
  <c r="D56" i="33"/>
  <c r="Z52" i="33"/>
  <c r="AD55" i="33"/>
  <c r="T63" i="7"/>
  <c r="U58" i="25"/>
  <c r="AD58" i="25" s="1"/>
  <c r="Y59" i="19" s="1"/>
  <c r="AA59" i="19" s="1"/>
  <c r="AC59" i="19" s="1"/>
  <c r="V63" i="7"/>
  <c r="V62" i="7"/>
  <c r="G58" i="32"/>
  <c r="Q58" i="32"/>
  <c r="G60" i="32"/>
  <c r="AK61" i="7"/>
  <c r="AN61" i="7" s="1"/>
  <c r="B60" i="32" s="1"/>
  <c r="C60" i="32" s="1"/>
  <c r="Z54" i="1"/>
  <c r="AT55" i="19"/>
  <c r="E54" i="33"/>
  <c r="P54" i="33" s="1"/>
  <c r="AJ57" i="19"/>
  <c r="AE56" i="32" s="1"/>
  <c r="AA53" i="1"/>
  <c r="AK56" i="19"/>
  <c r="B55" i="33"/>
  <c r="AM56" i="19"/>
  <c r="AL56" i="19"/>
  <c r="AN56" i="19"/>
  <c r="G53" i="33"/>
  <c r="T53" i="33"/>
  <c r="U53" i="33" s="1"/>
  <c r="AA53" i="33" s="1"/>
  <c r="Q53" i="33"/>
  <c r="I53" i="33"/>
  <c r="M53" i="33" s="1"/>
  <c r="N53" i="33" s="1"/>
  <c r="R53" i="33"/>
  <c r="AF53" i="33"/>
  <c r="AE53" i="33"/>
  <c r="AD57" i="32"/>
  <c r="S64" i="7"/>
  <c r="U64" i="7" s="1"/>
  <c r="AJ64" i="7"/>
  <c r="AD59" i="25"/>
  <c r="Y60" i="19" s="1"/>
  <c r="AA60" i="19" s="1"/>
  <c r="AC60" i="19" s="1"/>
  <c r="AD60" i="25"/>
  <c r="Y61" i="19" s="1"/>
  <c r="AA61" i="19" s="1"/>
  <c r="G59" i="32"/>
  <c r="Q59" i="32"/>
  <c r="X63" i="7"/>
  <c r="O63" i="7" s="1"/>
  <c r="Z63" i="7"/>
  <c r="T64" i="7" l="1"/>
  <c r="V64" i="7" s="1"/>
  <c r="Y63" i="7"/>
  <c r="AE63" i="7"/>
  <c r="R62" i="25" s="1"/>
  <c r="H62" i="32" s="1"/>
  <c r="Q63" i="19"/>
  <c r="I62" i="32" s="1"/>
  <c r="Z53" i="33"/>
  <c r="Y58" i="1"/>
  <c r="R58" i="32"/>
  <c r="D58" i="33"/>
  <c r="Q62" i="19"/>
  <c r="AE62" i="7"/>
  <c r="Z62" i="7"/>
  <c r="Y62" i="7"/>
  <c r="X62" i="7"/>
  <c r="O62" i="7" s="1"/>
  <c r="AG53" i="33"/>
  <c r="AJ58" i="19"/>
  <c r="AE57" i="32" s="1"/>
  <c r="AD57" i="33"/>
  <c r="Z55" i="1"/>
  <c r="AT56" i="19"/>
  <c r="T54" i="33"/>
  <c r="U54" i="33" s="1"/>
  <c r="AA54" i="33" s="1"/>
  <c r="I54" i="33"/>
  <c r="M54" i="33" s="1"/>
  <c r="N54" i="33" s="1"/>
  <c r="Q54" i="33"/>
  <c r="G54" i="33"/>
  <c r="R54" i="33"/>
  <c r="AF54" i="33"/>
  <c r="AE54" i="33"/>
  <c r="AA54" i="1"/>
  <c r="E55" i="33"/>
  <c r="AK57" i="19"/>
  <c r="AN57" i="19"/>
  <c r="AL57" i="19"/>
  <c r="B56" i="33"/>
  <c r="AM57" i="19"/>
  <c r="AF63" i="7"/>
  <c r="AC61" i="19"/>
  <c r="U63" i="19"/>
  <c r="AF63" i="19" s="1"/>
  <c r="S65" i="7"/>
  <c r="T65" i="7" s="1"/>
  <c r="AJ65" i="7"/>
  <c r="H62" i="33"/>
  <c r="AI63" i="7"/>
  <c r="AL63" i="7" s="1"/>
  <c r="AM63" i="7"/>
  <c r="X62" i="1" s="1"/>
  <c r="AB62" i="1" s="1"/>
  <c r="R59" i="32"/>
  <c r="Y59" i="1"/>
  <c r="D59" i="33"/>
  <c r="F63" i="19"/>
  <c r="S62" i="25"/>
  <c r="G63" i="19" l="1"/>
  <c r="AH63" i="19" s="1"/>
  <c r="Y64" i="7"/>
  <c r="X64" i="7"/>
  <c r="O64" i="7" s="1"/>
  <c r="Z64" i="7"/>
  <c r="Q64" i="19"/>
  <c r="AE64" i="7"/>
  <c r="F64" i="19" s="1"/>
  <c r="G62" i="32"/>
  <c r="Z54" i="33"/>
  <c r="U65" i="7"/>
  <c r="H61" i="33"/>
  <c r="AI62" i="7"/>
  <c r="AM62" i="7"/>
  <c r="X61" i="1" s="1"/>
  <c r="AB61" i="1" s="1"/>
  <c r="U62" i="19"/>
  <c r="AF62" i="19" s="1"/>
  <c r="I61" i="32"/>
  <c r="V65" i="7"/>
  <c r="AF62" i="7"/>
  <c r="R61" i="25"/>
  <c r="H61" i="32" s="1"/>
  <c r="G62" i="19"/>
  <c r="AH62" i="19" s="1"/>
  <c r="AD58" i="32" s="1"/>
  <c r="AD58" i="33" s="1"/>
  <c r="S61" i="25"/>
  <c r="U61" i="25" s="1"/>
  <c r="AD61" i="25" s="1"/>
  <c r="Y62" i="19" s="1"/>
  <c r="AA62" i="19" s="1"/>
  <c r="AC62" i="19" s="1"/>
  <c r="F62" i="19"/>
  <c r="AK63" i="7"/>
  <c r="AN63" i="7" s="1"/>
  <c r="B62" i="32" s="1"/>
  <c r="C62" i="32" s="1"/>
  <c r="Q55" i="33"/>
  <c r="G55" i="33"/>
  <c r="I55" i="33"/>
  <c r="M55" i="33" s="1"/>
  <c r="N55" i="33" s="1"/>
  <c r="R55" i="33"/>
  <c r="T55" i="33"/>
  <c r="U55" i="33" s="1"/>
  <c r="AA55" i="33" s="1"/>
  <c r="AF55" i="33"/>
  <c r="AE55" i="33"/>
  <c r="U62" i="25"/>
  <c r="AD62" i="25" s="1"/>
  <c r="Y63" i="19" s="1"/>
  <c r="AA63" i="19" s="1"/>
  <c r="AC63" i="19" s="1"/>
  <c r="E56" i="33"/>
  <c r="P56" i="33" s="1"/>
  <c r="Z56" i="1"/>
  <c r="AT57" i="19"/>
  <c r="P55" i="33"/>
  <c r="AG54" i="33"/>
  <c r="AJ59" i="19"/>
  <c r="AE58" i="32" s="1"/>
  <c r="AA55" i="1"/>
  <c r="AK58" i="19"/>
  <c r="B57" i="33"/>
  <c r="AL58" i="19"/>
  <c r="AN58" i="19"/>
  <c r="AM58" i="19"/>
  <c r="H63" i="33"/>
  <c r="AI64" i="7"/>
  <c r="AL64" i="7" s="1"/>
  <c r="S66" i="7"/>
  <c r="T66" i="7" s="1"/>
  <c r="AJ66" i="7"/>
  <c r="U64" i="19"/>
  <c r="AF64" i="19" s="1"/>
  <c r="I63" i="32"/>
  <c r="AM64" i="7"/>
  <c r="X63" i="1" s="1"/>
  <c r="AB63" i="1" s="1"/>
  <c r="G64" i="19"/>
  <c r="AH64" i="19" s="1"/>
  <c r="Q65" i="19"/>
  <c r="I64" i="32" s="1"/>
  <c r="AE65" i="7" l="1"/>
  <c r="AD59" i="32"/>
  <c r="AD59" i="33" s="1"/>
  <c r="G61" i="32"/>
  <c r="Z65" i="7"/>
  <c r="X65" i="7"/>
  <c r="O65" i="7" s="1"/>
  <c r="Y65" i="7"/>
  <c r="S63" i="25"/>
  <c r="R63" i="25"/>
  <c r="H63" i="32" s="1"/>
  <c r="G63" i="32" s="1"/>
  <c r="AF64" i="7"/>
  <c r="V62" i="32"/>
  <c r="Z55" i="33"/>
  <c r="AM65" i="7"/>
  <c r="X64" i="1" s="1"/>
  <c r="AB64" i="1" s="1"/>
  <c r="V66" i="7"/>
  <c r="AK64" i="7"/>
  <c r="AN64" i="7" s="1"/>
  <c r="B63" i="32" s="1"/>
  <c r="C63" i="32" s="1"/>
  <c r="V60" i="32"/>
  <c r="Q60" i="32"/>
  <c r="AL62" i="7"/>
  <c r="AK62" i="7"/>
  <c r="AN62" i="7" s="1"/>
  <c r="B61" i="32" s="1"/>
  <c r="C61" i="32" s="1"/>
  <c r="V61" i="32" s="1"/>
  <c r="U65" i="19"/>
  <c r="AF65" i="19" s="1"/>
  <c r="U66" i="7"/>
  <c r="AG55" i="33"/>
  <c r="AJ60" i="19"/>
  <c r="AE59" i="32" s="1"/>
  <c r="Z57" i="1"/>
  <c r="AT58" i="19"/>
  <c r="E57" i="33"/>
  <c r="P57" i="33" s="1"/>
  <c r="AN59" i="19"/>
  <c r="B58" i="33"/>
  <c r="AM59" i="19"/>
  <c r="AK59" i="19"/>
  <c r="AL59" i="19"/>
  <c r="AA56" i="1"/>
  <c r="AF56" i="33"/>
  <c r="G56" i="33"/>
  <c r="R56" i="33"/>
  <c r="T56" i="33"/>
  <c r="U56" i="33" s="1"/>
  <c r="AA56" i="33" s="1"/>
  <c r="I56" i="33"/>
  <c r="M56" i="33" s="1"/>
  <c r="N56" i="33" s="1"/>
  <c r="Q56" i="33"/>
  <c r="AE56" i="33"/>
  <c r="AD60" i="32"/>
  <c r="S67" i="7"/>
  <c r="U67" i="7" s="1"/>
  <c r="AJ67" i="7"/>
  <c r="R64" i="25"/>
  <c r="H64" i="32" s="1"/>
  <c r="G64" i="32" s="1"/>
  <c r="G65" i="19"/>
  <c r="AH65" i="19" s="1"/>
  <c r="AE66" i="7"/>
  <c r="S64" i="25"/>
  <c r="AG56" i="33" l="1"/>
  <c r="AF65" i="7"/>
  <c r="F65" i="19"/>
  <c r="H64" i="33"/>
  <c r="Q66" i="19"/>
  <c r="U66" i="19" s="1"/>
  <c r="AF66" i="19" s="1"/>
  <c r="Q62" i="32"/>
  <c r="Y62" i="1" s="1"/>
  <c r="U63" i="25"/>
  <c r="AD63" i="25" s="1"/>
  <c r="Y64" i="19" s="1"/>
  <c r="AA64" i="19" s="1"/>
  <c r="AC64" i="19" s="1"/>
  <c r="X66" i="7"/>
  <c r="O66" i="7" s="1"/>
  <c r="Y66" i="7"/>
  <c r="AI65" i="7"/>
  <c r="AL65" i="7" s="1"/>
  <c r="Z66" i="7"/>
  <c r="Z56" i="33"/>
  <c r="T67" i="7"/>
  <c r="V67" i="7" s="1"/>
  <c r="V63" i="32"/>
  <c r="Q61" i="32"/>
  <c r="R60" i="32"/>
  <c r="D60" i="33"/>
  <c r="Y60" i="1"/>
  <c r="AF66" i="7"/>
  <c r="AJ61" i="19"/>
  <c r="AE60" i="32" s="1"/>
  <c r="AD60" i="33"/>
  <c r="U64" i="25"/>
  <c r="AD64" i="25" s="1"/>
  <c r="Y65" i="19" s="1"/>
  <c r="AA65" i="19" s="1"/>
  <c r="AC65" i="19" s="1"/>
  <c r="Z58" i="1"/>
  <c r="AT59" i="19"/>
  <c r="E58" i="33"/>
  <c r="P58" i="33" s="1"/>
  <c r="T57" i="33"/>
  <c r="U57" i="33" s="1"/>
  <c r="AA57" i="33" s="1"/>
  <c r="Q57" i="33"/>
  <c r="AF57" i="33"/>
  <c r="G57" i="33"/>
  <c r="I57" i="33"/>
  <c r="M57" i="33" s="1"/>
  <c r="N57" i="33" s="1"/>
  <c r="R57" i="33"/>
  <c r="AE57" i="33"/>
  <c r="AA57" i="1"/>
  <c r="AK60" i="19"/>
  <c r="B59" i="33"/>
  <c r="AN60" i="19"/>
  <c r="AM60" i="19"/>
  <c r="AL60" i="19"/>
  <c r="AD61" i="32"/>
  <c r="S68" i="7"/>
  <c r="U68" i="7" s="1"/>
  <c r="AJ68" i="7"/>
  <c r="AI66" i="7"/>
  <c r="AL66" i="7" s="1"/>
  <c r="R65" i="25"/>
  <c r="H65" i="32" s="1"/>
  <c r="F66" i="19"/>
  <c r="G66" i="19"/>
  <c r="AH66" i="19" s="1"/>
  <c r="S65" i="25"/>
  <c r="D62" i="33" l="1"/>
  <c r="I65" i="32"/>
  <c r="AM66" i="7"/>
  <c r="X65" i="1" s="1"/>
  <c r="AB65" i="1" s="1"/>
  <c r="H65" i="33"/>
  <c r="AK65" i="7"/>
  <c r="AN65" i="7" s="1"/>
  <c r="B64" i="32" s="1"/>
  <c r="C64" i="32" s="1"/>
  <c r="R62" i="32"/>
  <c r="AG57" i="33"/>
  <c r="Q63" i="32"/>
  <c r="D63" i="33" s="1"/>
  <c r="Z57" i="33"/>
  <c r="AE67" i="7"/>
  <c r="Z67" i="7"/>
  <c r="Q67" i="19"/>
  <c r="U67" i="19" s="1"/>
  <c r="AF67" i="19" s="1"/>
  <c r="Y67" i="7"/>
  <c r="X67" i="7"/>
  <c r="O67" i="7" s="1"/>
  <c r="T68" i="7"/>
  <c r="Y61" i="1"/>
  <c r="R61" i="32"/>
  <c r="D61" i="33"/>
  <c r="AT60" i="19"/>
  <c r="Z59" i="1"/>
  <c r="AJ62" i="19"/>
  <c r="AE61" i="32" s="1"/>
  <c r="AD61" i="33"/>
  <c r="E59" i="33"/>
  <c r="P59" i="33" s="1"/>
  <c r="T58" i="33"/>
  <c r="U58" i="33" s="1"/>
  <c r="AA58" i="33" s="1"/>
  <c r="I58" i="33"/>
  <c r="M58" i="33" s="1"/>
  <c r="N58" i="33" s="1"/>
  <c r="Q58" i="33"/>
  <c r="G58" i="33"/>
  <c r="R58" i="33"/>
  <c r="AF58" i="33"/>
  <c r="AE58" i="33"/>
  <c r="AA58" i="1"/>
  <c r="AK61" i="19"/>
  <c r="AL61" i="19"/>
  <c r="AM61" i="19"/>
  <c r="AN61" i="19"/>
  <c r="B60" i="33"/>
  <c r="E60" i="33" s="1"/>
  <c r="AF60" i="33" s="1"/>
  <c r="AD62" i="32"/>
  <c r="G65" i="32"/>
  <c r="S69" i="7"/>
  <c r="T69" i="7" s="1"/>
  <c r="AJ69" i="7"/>
  <c r="H66" i="33"/>
  <c r="U65" i="25"/>
  <c r="AK66" i="7"/>
  <c r="AN66" i="7" s="1"/>
  <c r="B65" i="32" s="1"/>
  <c r="C65" i="32" s="1"/>
  <c r="I66" i="32"/>
  <c r="R66" i="25"/>
  <c r="H66" i="32" s="1"/>
  <c r="F67" i="19"/>
  <c r="G67" i="19"/>
  <c r="AH67" i="19" s="1"/>
  <c r="S66" i="25"/>
  <c r="V65" i="32" l="1"/>
  <c r="AM67" i="7"/>
  <c r="X66" i="1" s="1"/>
  <c r="AB66" i="1" s="1"/>
  <c r="AI67" i="7"/>
  <c r="AL67" i="7" s="1"/>
  <c r="AF67" i="7"/>
  <c r="R63" i="32"/>
  <c r="Y63" i="1"/>
  <c r="Z58" i="33"/>
  <c r="V69" i="7"/>
  <c r="V68" i="7"/>
  <c r="V64" i="32"/>
  <c r="Q64" i="32"/>
  <c r="U69" i="7"/>
  <c r="Z69" i="7" s="1"/>
  <c r="R60" i="33"/>
  <c r="AE60" i="33"/>
  <c r="AG60" i="33" s="1"/>
  <c r="Q60" i="33"/>
  <c r="G60" i="33"/>
  <c r="P60" i="33"/>
  <c r="U66" i="25"/>
  <c r="AD66" i="25" s="1"/>
  <c r="Y67" i="19" s="1"/>
  <c r="AA67" i="19" s="1"/>
  <c r="AC67" i="19" s="1"/>
  <c r="I60" i="33"/>
  <c r="M60" i="33" s="1"/>
  <c r="N60" i="33" s="1"/>
  <c r="T60" i="33"/>
  <c r="U60" i="33" s="1"/>
  <c r="AA60" i="33" s="1"/>
  <c r="Z60" i="1"/>
  <c r="AT61" i="19"/>
  <c r="AG58" i="33"/>
  <c r="T59" i="33"/>
  <c r="U59" i="33" s="1"/>
  <c r="AA59" i="33" s="1"/>
  <c r="R59" i="33"/>
  <c r="G59" i="33"/>
  <c r="AE59" i="33"/>
  <c r="I59" i="33"/>
  <c r="M59" i="33" s="1"/>
  <c r="N59" i="33" s="1"/>
  <c r="AF59" i="33"/>
  <c r="Q59" i="33"/>
  <c r="AJ63" i="19"/>
  <c r="AE62" i="32" s="1"/>
  <c r="AD62" i="33"/>
  <c r="AK62" i="19"/>
  <c r="AN62" i="19"/>
  <c r="AL62" i="19"/>
  <c r="AM62" i="19"/>
  <c r="B61" i="33"/>
  <c r="AA59" i="1"/>
  <c r="AD63" i="32"/>
  <c r="G66" i="32"/>
  <c r="S70" i="7"/>
  <c r="U70" i="7" s="1"/>
  <c r="AJ70" i="7"/>
  <c r="AD65" i="25"/>
  <c r="Y66" i="19" s="1"/>
  <c r="AA66" i="19" s="1"/>
  <c r="AC66" i="19" s="1"/>
  <c r="AE69" i="7"/>
  <c r="Q69" i="19" l="1"/>
  <c r="I68" i="32" s="1"/>
  <c r="AK67" i="7"/>
  <c r="AN67" i="7" s="1"/>
  <c r="B66" i="32" s="1"/>
  <c r="C66" i="32" s="1"/>
  <c r="X69" i="7"/>
  <c r="O69" i="7" s="1"/>
  <c r="Y69" i="7"/>
  <c r="Q65" i="32"/>
  <c r="Z60" i="33"/>
  <c r="Z59" i="33"/>
  <c r="T70" i="7"/>
  <c r="H68" i="33"/>
  <c r="V70" i="7"/>
  <c r="Y68" i="7"/>
  <c r="AE68" i="7"/>
  <c r="Q68" i="19"/>
  <c r="Z68" i="7"/>
  <c r="X68" i="7"/>
  <c r="O68" i="7" s="1"/>
  <c r="Y64" i="1"/>
  <c r="R64" i="32"/>
  <c r="D64" i="33"/>
  <c r="AJ64" i="19"/>
  <c r="AE63" i="32" s="1"/>
  <c r="AD63" i="33"/>
  <c r="E61" i="33"/>
  <c r="P61" i="33" s="1"/>
  <c r="Z61" i="1"/>
  <c r="AT62" i="19"/>
  <c r="AK63" i="19"/>
  <c r="AN63" i="19"/>
  <c r="AM63" i="19"/>
  <c r="B62" i="33"/>
  <c r="AL63" i="19"/>
  <c r="AG59" i="33"/>
  <c r="AA60" i="1"/>
  <c r="S71" i="7"/>
  <c r="T71" i="7" s="1"/>
  <c r="AJ71" i="7"/>
  <c r="AM69" i="7"/>
  <c r="X68" i="1" s="1"/>
  <c r="AB68" i="1" s="1"/>
  <c r="R68" i="25"/>
  <c r="H68" i="32" s="1"/>
  <c r="F69" i="19"/>
  <c r="G69" i="19"/>
  <c r="AH69" i="19" s="1"/>
  <c r="Y70" i="7"/>
  <c r="X70" i="7"/>
  <c r="O70" i="7" s="1"/>
  <c r="S68" i="25"/>
  <c r="Z70" i="7"/>
  <c r="U69" i="19" l="1"/>
  <c r="AF69" i="19" s="1"/>
  <c r="AE70" i="7"/>
  <c r="AF70" i="7" s="1"/>
  <c r="Q70" i="19"/>
  <c r="U70" i="19" s="1"/>
  <c r="AF70" i="19" s="1"/>
  <c r="AI69" i="7"/>
  <c r="AL69" i="7" s="1"/>
  <c r="AF69" i="7"/>
  <c r="R65" i="32"/>
  <c r="D65" i="33"/>
  <c r="Y65" i="1"/>
  <c r="H69" i="33"/>
  <c r="U71" i="7"/>
  <c r="V71" i="7"/>
  <c r="F68" i="19"/>
  <c r="AF68" i="7"/>
  <c r="R67" i="25"/>
  <c r="H67" i="32" s="1"/>
  <c r="G68" i="19"/>
  <c r="AH68" i="19" s="1"/>
  <c r="AD64" i="32" s="1"/>
  <c r="AJ65" i="19" s="1"/>
  <c r="AE64" i="32" s="1"/>
  <c r="S67" i="25"/>
  <c r="U67" i="25" s="1"/>
  <c r="AD67" i="25" s="1"/>
  <c r="Y68" i="19" s="1"/>
  <c r="AA68" i="19" s="1"/>
  <c r="AC68" i="19" s="1"/>
  <c r="H67" i="33"/>
  <c r="AI68" i="7"/>
  <c r="AM68" i="7"/>
  <c r="X67" i="1" s="1"/>
  <c r="AB67" i="1" s="1"/>
  <c r="I67" i="32"/>
  <c r="U68" i="19"/>
  <c r="AF68" i="19" s="1"/>
  <c r="Z62" i="1"/>
  <c r="AT63" i="19"/>
  <c r="AA61" i="1"/>
  <c r="G61" i="33"/>
  <c r="Q61" i="33"/>
  <c r="T61" i="33"/>
  <c r="U61" i="33" s="1"/>
  <c r="AA61" i="33" s="1"/>
  <c r="I61" i="33"/>
  <c r="M61" i="33" s="1"/>
  <c r="N61" i="33" s="1"/>
  <c r="R61" i="33"/>
  <c r="AF61" i="33"/>
  <c r="AE61" i="33"/>
  <c r="AK64" i="19"/>
  <c r="AL64" i="19"/>
  <c r="AN64" i="19"/>
  <c r="B63" i="33"/>
  <c r="AM64" i="19"/>
  <c r="E62" i="33"/>
  <c r="P62" i="33" s="1"/>
  <c r="G68" i="32"/>
  <c r="S72" i="7"/>
  <c r="T72" i="7" s="1"/>
  <c r="AJ72" i="7"/>
  <c r="U68" i="25"/>
  <c r="I69" i="32"/>
  <c r="AM70" i="7"/>
  <c r="X69" i="1" s="1"/>
  <c r="AB69" i="1" s="1"/>
  <c r="AI70" i="7"/>
  <c r="AL70" i="7" s="1"/>
  <c r="F70" i="19"/>
  <c r="S69" i="25"/>
  <c r="Y71" i="7"/>
  <c r="AE71" i="7"/>
  <c r="X71" i="7"/>
  <c r="O71" i="7" s="1"/>
  <c r="G70" i="19" l="1"/>
  <c r="AH70" i="19" s="1"/>
  <c r="AD66" i="32" s="1"/>
  <c r="R69" i="25"/>
  <c r="H69" i="32" s="1"/>
  <c r="Z71" i="7"/>
  <c r="Q71" i="19"/>
  <c r="I70" i="32" s="1"/>
  <c r="AK69" i="7"/>
  <c r="AN69" i="7" s="1"/>
  <c r="B68" i="32" s="1"/>
  <c r="C68" i="32" s="1"/>
  <c r="V68" i="32" s="1"/>
  <c r="AD65" i="32"/>
  <c r="AJ66" i="19" s="1"/>
  <c r="AE65" i="32" s="1"/>
  <c r="Z61" i="33"/>
  <c r="H70" i="33"/>
  <c r="AD64" i="33"/>
  <c r="V72" i="7"/>
  <c r="U71" i="19"/>
  <c r="AF71" i="19" s="1"/>
  <c r="U72" i="7"/>
  <c r="AL68" i="7"/>
  <c r="AK68" i="7"/>
  <c r="AN68" i="7" s="1"/>
  <c r="B67" i="32" s="1"/>
  <c r="C67" i="32" s="1"/>
  <c r="G67" i="32"/>
  <c r="V66" i="32"/>
  <c r="Q66" i="32"/>
  <c r="AF71" i="7"/>
  <c r="G69" i="32"/>
  <c r="AT64" i="19"/>
  <c r="Z63" i="1"/>
  <c r="G62" i="33"/>
  <c r="I62" i="33"/>
  <c r="M62" i="33" s="1"/>
  <c r="N62" i="33" s="1"/>
  <c r="Q62" i="33"/>
  <c r="T62" i="33"/>
  <c r="U62" i="33" s="1"/>
  <c r="AA62" i="33" s="1"/>
  <c r="R62" i="33"/>
  <c r="AF62" i="33"/>
  <c r="AE62" i="33"/>
  <c r="E63" i="33"/>
  <c r="P63" i="33" s="1"/>
  <c r="AG61" i="33"/>
  <c r="AK65" i="19"/>
  <c r="B64" i="33"/>
  <c r="AM65" i="19"/>
  <c r="AN65" i="19"/>
  <c r="AL65" i="19"/>
  <c r="AA62" i="1"/>
  <c r="AK70" i="7"/>
  <c r="AN70" i="7" s="1"/>
  <c r="B69" i="32" s="1"/>
  <c r="C69" i="32" s="1"/>
  <c r="V69" i="32" s="1"/>
  <c r="S73" i="7"/>
  <c r="U73" i="7" s="1"/>
  <c r="AJ73" i="7"/>
  <c r="U69" i="25"/>
  <c r="AD68" i="25"/>
  <c r="Y69" i="19" s="1"/>
  <c r="AA69" i="19" s="1"/>
  <c r="AC69" i="19" s="1"/>
  <c r="AM71" i="7"/>
  <c r="X70" i="1" s="1"/>
  <c r="AB70" i="1" s="1"/>
  <c r="AI71" i="7"/>
  <c r="AL71" i="7" s="1"/>
  <c r="R70" i="25"/>
  <c r="H70" i="32" s="1"/>
  <c r="G70" i="32" s="1"/>
  <c r="F71" i="19"/>
  <c r="G71" i="19"/>
  <c r="AH71" i="19" s="1"/>
  <c r="S70" i="25"/>
  <c r="Q72" i="19" l="1"/>
  <c r="I71" i="32" s="1"/>
  <c r="AE72" i="7"/>
  <c r="X72" i="7"/>
  <c r="O72" i="7" s="1"/>
  <c r="Y72" i="7"/>
  <c r="Q68" i="32"/>
  <c r="Y68" i="1" s="1"/>
  <c r="AD65" i="33"/>
  <c r="Z62" i="33"/>
  <c r="H71" i="33"/>
  <c r="Z72" i="7"/>
  <c r="T73" i="7"/>
  <c r="Q67" i="32"/>
  <c r="V67" i="32"/>
  <c r="Y66" i="1"/>
  <c r="R66" i="32"/>
  <c r="D66" i="33"/>
  <c r="U70" i="25"/>
  <c r="AD70" i="25" s="1"/>
  <c r="Y71" i="19" s="1"/>
  <c r="AA71" i="19" s="1"/>
  <c r="AC71" i="19" s="1"/>
  <c r="AG62" i="33"/>
  <c r="Q69" i="32"/>
  <c r="D69" i="33" s="1"/>
  <c r="AJ67" i="19"/>
  <c r="AE66" i="32" s="1"/>
  <c r="AD66" i="33"/>
  <c r="Z64" i="1"/>
  <c r="AT65" i="19"/>
  <c r="E64" i="33"/>
  <c r="P64" i="33" s="1"/>
  <c r="G63" i="33"/>
  <c r="R63" i="33"/>
  <c r="T63" i="33"/>
  <c r="U63" i="33" s="1"/>
  <c r="AA63" i="33" s="1"/>
  <c r="Q63" i="33"/>
  <c r="I63" i="33"/>
  <c r="M63" i="33" s="1"/>
  <c r="N63" i="33" s="1"/>
  <c r="AF63" i="33"/>
  <c r="AE63" i="33"/>
  <c r="AA63" i="1"/>
  <c r="AK66" i="19"/>
  <c r="AN66" i="19"/>
  <c r="B65" i="33"/>
  <c r="E65" i="33" s="1"/>
  <c r="AF65" i="33" s="1"/>
  <c r="AM66" i="19"/>
  <c r="AL66" i="19"/>
  <c r="AD67" i="32"/>
  <c r="G72" i="19"/>
  <c r="AH72" i="19" s="1"/>
  <c r="S74" i="7"/>
  <c r="U74" i="7" s="1"/>
  <c r="AJ74" i="7"/>
  <c r="AD69" i="25"/>
  <c r="Y70" i="19" s="1"/>
  <c r="AA70" i="19" s="1"/>
  <c r="AK71" i="7"/>
  <c r="AN71" i="7" s="1"/>
  <c r="B70" i="32" s="1"/>
  <c r="C70" i="32" s="1"/>
  <c r="V70" i="32" s="1"/>
  <c r="AI72" i="7"/>
  <c r="AL72" i="7" s="1"/>
  <c r="S71" i="25"/>
  <c r="R71" i="25"/>
  <c r="H71" i="32" s="1"/>
  <c r="G71" i="32" s="1"/>
  <c r="F72" i="19"/>
  <c r="U72" i="19" l="1"/>
  <c r="AF72" i="19" s="1"/>
  <c r="D68" i="33"/>
  <c r="AM72" i="7"/>
  <c r="X71" i="1" s="1"/>
  <c r="AB71" i="1" s="1"/>
  <c r="AF72" i="7"/>
  <c r="R68" i="32"/>
  <c r="T65" i="33"/>
  <c r="U65" i="33" s="1"/>
  <c r="AA65" i="33" s="1"/>
  <c r="T74" i="7"/>
  <c r="R65" i="33"/>
  <c r="Z63" i="33"/>
  <c r="V74" i="7"/>
  <c r="R67" i="32"/>
  <c r="D67" i="33"/>
  <c r="Y67" i="1"/>
  <c r="V73" i="7"/>
  <c r="P65" i="33"/>
  <c r="G65" i="33"/>
  <c r="AE65" i="33"/>
  <c r="AG65" i="33" s="1"/>
  <c r="AG63" i="33"/>
  <c r="Y69" i="1"/>
  <c r="R69" i="32"/>
  <c r="U71" i="25"/>
  <c r="AD71" i="25" s="1"/>
  <c r="Y72" i="19" s="1"/>
  <c r="AA72" i="19" s="1"/>
  <c r="AC72" i="19" s="1"/>
  <c r="I65" i="33"/>
  <c r="M65" i="33" s="1"/>
  <c r="N65" i="33" s="1"/>
  <c r="Q65" i="33"/>
  <c r="AJ68" i="19"/>
  <c r="AE67" i="32" s="1"/>
  <c r="AD67" i="33"/>
  <c r="AT66" i="19"/>
  <c r="Z65" i="1"/>
  <c r="AK67" i="19"/>
  <c r="AN67" i="19"/>
  <c r="B66" i="33"/>
  <c r="AL67" i="19"/>
  <c r="AM67" i="19"/>
  <c r="G64" i="33"/>
  <c r="R64" i="33"/>
  <c r="AF64" i="33"/>
  <c r="T64" i="33"/>
  <c r="U64" i="33" s="1"/>
  <c r="AA64" i="33" s="1"/>
  <c r="I64" i="33"/>
  <c r="M64" i="33" s="1"/>
  <c r="N64" i="33" s="1"/>
  <c r="Q64" i="33"/>
  <c r="AE64" i="33"/>
  <c r="AA64" i="1"/>
  <c r="AD68" i="32"/>
  <c r="Q70" i="32"/>
  <c r="Y70" i="1" s="1"/>
  <c r="AC70" i="19"/>
  <c r="S75" i="7"/>
  <c r="T75" i="7" s="1"/>
  <c r="AJ75" i="7"/>
  <c r="AK72" i="7"/>
  <c r="AN72" i="7" s="1"/>
  <c r="B71" i="32" s="1"/>
  <c r="C71" i="32" s="1"/>
  <c r="X74" i="7"/>
  <c r="O74" i="7" s="1"/>
  <c r="Y74" i="7" l="1"/>
  <c r="Z74" i="7"/>
  <c r="AE74" i="7"/>
  <c r="AF74" i="7" s="1"/>
  <c r="Q74" i="19"/>
  <c r="U74" i="19" s="1"/>
  <c r="AF74" i="19" s="1"/>
  <c r="U75" i="7"/>
  <c r="Z64" i="33"/>
  <c r="Z65" i="33"/>
  <c r="H73" i="33"/>
  <c r="AE73" i="7"/>
  <c r="Y73" i="7"/>
  <c r="X73" i="7"/>
  <c r="O73" i="7" s="1"/>
  <c r="Q73" i="19"/>
  <c r="Z73" i="7"/>
  <c r="V75" i="7"/>
  <c r="AG64" i="33"/>
  <c r="AJ69" i="19"/>
  <c r="AE68" i="32" s="1"/>
  <c r="AD68" i="33"/>
  <c r="E66" i="33"/>
  <c r="P66" i="33" s="1"/>
  <c r="AK68" i="19"/>
  <c r="B67" i="33"/>
  <c r="AN68" i="19"/>
  <c r="AL68" i="19"/>
  <c r="AM68" i="19"/>
  <c r="AT67" i="19"/>
  <c r="Z66" i="1"/>
  <c r="AA65" i="1"/>
  <c r="D70" i="33"/>
  <c r="R70" i="32"/>
  <c r="S76" i="7"/>
  <c r="T76" i="7" s="1"/>
  <c r="AJ76" i="7"/>
  <c r="AM74" i="7"/>
  <c r="X73" i="1" s="1"/>
  <c r="AB73" i="1" s="1"/>
  <c r="AI74" i="7"/>
  <c r="AL74" i="7" s="1"/>
  <c r="R73" i="25"/>
  <c r="H73" i="32" s="1"/>
  <c r="G74" i="19"/>
  <c r="AH74" i="19" s="1"/>
  <c r="Y75" i="7" l="1"/>
  <c r="X75" i="7"/>
  <c r="O75" i="7" s="1"/>
  <c r="S73" i="25"/>
  <c r="U73" i="25" s="1"/>
  <c r="AD73" i="25" s="1"/>
  <c r="Y74" i="19" s="1"/>
  <c r="AA74" i="19" s="1"/>
  <c r="AC74" i="19" s="1"/>
  <c r="F74" i="19"/>
  <c r="I73" i="32"/>
  <c r="Z75" i="7"/>
  <c r="AE75" i="7"/>
  <c r="Q75" i="19"/>
  <c r="H74" i="33"/>
  <c r="V76" i="7"/>
  <c r="U73" i="19"/>
  <c r="AF73" i="19" s="1"/>
  <c r="I72" i="32"/>
  <c r="H72" i="33"/>
  <c r="AM73" i="7"/>
  <c r="X72" i="1" s="1"/>
  <c r="AB72" i="1" s="1"/>
  <c r="AI73" i="7"/>
  <c r="AF73" i="7"/>
  <c r="F73" i="19"/>
  <c r="S72" i="25"/>
  <c r="R72" i="25"/>
  <c r="H72" i="32" s="1"/>
  <c r="G72" i="32" s="1"/>
  <c r="G73" i="19"/>
  <c r="AH73" i="19" s="1"/>
  <c r="AD69" i="32" s="1"/>
  <c r="AJ70" i="19" s="1"/>
  <c r="U76" i="7"/>
  <c r="AT68" i="19"/>
  <c r="Z67" i="1"/>
  <c r="E67" i="33"/>
  <c r="P67" i="33" s="1"/>
  <c r="AA66" i="1"/>
  <c r="T66" i="33"/>
  <c r="U66" i="33" s="1"/>
  <c r="AA66" i="33" s="1"/>
  <c r="Q66" i="33"/>
  <c r="I66" i="33"/>
  <c r="M66" i="33" s="1"/>
  <c r="N66" i="33" s="1"/>
  <c r="R66" i="33"/>
  <c r="G66" i="33"/>
  <c r="AF66" i="33"/>
  <c r="AE66" i="33"/>
  <c r="AK69" i="19"/>
  <c r="AM69" i="19"/>
  <c r="AN69" i="19"/>
  <c r="B68" i="33"/>
  <c r="AL69" i="19"/>
  <c r="G73" i="32"/>
  <c r="S77" i="7"/>
  <c r="U77" i="7" s="1"/>
  <c r="AJ77" i="7"/>
  <c r="U75" i="19"/>
  <c r="AF75" i="19" s="1"/>
  <c r="I74" i="32"/>
  <c r="AK74" i="7"/>
  <c r="AN74" i="7" s="1"/>
  <c r="B73" i="32" s="1"/>
  <c r="C73" i="32" s="1"/>
  <c r="V73" i="32" s="1"/>
  <c r="AM75" i="7"/>
  <c r="X74" i="1" s="1"/>
  <c r="AB74" i="1" s="1"/>
  <c r="R74" i="25"/>
  <c r="H74" i="32" s="1"/>
  <c r="F75" i="19"/>
  <c r="G75" i="19"/>
  <c r="AH75" i="19" s="1"/>
  <c r="X76" i="7"/>
  <c r="O76" i="7" s="1"/>
  <c r="S74" i="25"/>
  <c r="T77" i="7"/>
  <c r="G74" i="32" l="1"/>
  <c r="AI75" i="7"/>
  <c r="AL75" i="7" s="1"/>
  <c r="AF75" i="7"/>
  <c r="Z66" i="33"/>
  <c r="H75" i="33"/>
  <c r="Y76" i="7"/>
  <c r="AD69" i="33"/>
  <c r="AK70" i="19"/>
  <c r="AN70" i="19"/>
  <c r="Z69" i="1" s="1"/>
  <c r="Z76" i="7"/>
  <c r="Q76" i="19"/>
  <c r="I75" i="32" s="1"/>
  <c r="AE76" i="7"/>
  <c r="S75" i="25" s="1"/>
  <c r="AE69" i="32"/>
  <c r="V77" i="7"/>
  <c r="AL70" i="19"/>
  <c r="U72" i="25"/>
  <c r="AD72" i="25" s="1"/>
  <c r="Y73" i="19" s="1"/>
  <c r="AA73" i="19" s="1"/>
  <c r="AC73" i="19" s="1"/>
  <c r="V71" i="32"/>
  <c r="Q71" i="32"/>
  <c r="AL73" i="7"/>
  <c r="AK73" i="7"/>
  <c r="AN73" i="7" s="1"/>
  <c r="B72" i="32" s="1"/>
  <c r="C72" i="32" s="1"/>
  <c r="AD70" i="32"/>
  <c r="AG66" i="33"/>
  <c r="E68" i="33"/>
  <c r="P68" i="33" s="1"/>
  <c r="U74" i="25"/>
  <c r="AD74" i="25" s="1"/>
  <c r="Y75" i="19" s="1"/>
  <c r="AA75" i="19" s="1"/>
  <c r="AC75" i="19" s="1"/>
  <c r="B69" i="33"/>
  <c r="AM70" i="19"/>
  <c r="AT69" i="19"/>
  <c r="Z68" i="1"/>
  <c r="I67" i="33"/>
  <c r="M67" i="33" s="1"/>
  <c r="N67" i="33" s="1"/>
  <c r="G67" i="33"/>
  <c r="T67" i="33"/>
  <c r="U67" i="33" s="1"/>
  <c r="AA67" i="33" s="1"/>
  <c r="R67" i="33"/>
  <c r="AF67" i="33"/>
  <c r="Q67" i="33"/>
  <c r="AE67" i="33"/>
  <c r="AA67" i="1"/>
  <c r="AD71" i="32"/>
  <c r="Q73" i="32"/>
  <c r="E69" i="33"/>
  <c r="P69" i="33" s="1"/>
  <c r="S78" i="7"/>
  <c r="U78" i="7" s="1"/>
  <c r="AJ78" i="7"/>
  <c r="U76" i="19"/>
  <c r="AF76" i="19" s="1"/>
  <c r="AM76" i="7"/>
  <c r="X75" i="1" s="1"/>
  <c r="AB75" i="1" s="1"/>
  <c r="AI76" i="7"/>
  <c r="AL76" i="7" s="1"/>
  <c r="AK75" i="7"/>
  <c r="AN75" i="7" s="1"/>
  <c r="B74" i="32" s="1"/>
  <c r="C74" i="32" s="1"/>
  <c r="V74" i="32" s="1"/>
  <c r="G76" i="19"/>
  <c r="AH76" i="19" s="1"/>
  <c r="Q77" i="19"/>
  <c r="AE77" i="7" l="1"/>
  <c r="F77" i="19" s="1"/>
  <c r="R75" i="25"/>
  <c r="AF76" i="7"/>
  <c r="Z77" i="7"/>
  <c r="X77" i="7"/>
  <c r="O77" i="7" s="1"/>
  <c r="Y77" i="7"/>
  <c r="F76" i="19"/>
  <c r="T78" i="7"/>
  <c r="AT70" i="19"/>
  <c r="AG67" i="33"/>
  <c r="Z67" i="33"/>
  <c r="H76" i="33"/>
  <c r="V78" i="7"/>
  <c r="V72" i="32"/>
  <c r="Q72" i="32"/>
  <c r="Y71" i="1"/>
  <c r="R71" i="32"/>
  <c r="D71" i="33"/>
  <c r="AD70" i="33"/>
  <c r="AJ71" i="19"/>
  <c r="AJ72" i="19"/>
  <c r="AE71" i="32" s="1"/>
  <c r="AD71" i="33"/>
  <c r="AA68" i="1"/>
  <c r="I68" i="33"/>
  <c r="M68" i="33" s="1"/>
  <c r="N68" i="33" s="1"/>
  <c r="T68" i="33"/>
  <c r="U68" i="33" s="1"/>
  <c r="AA68" i="33" s="1"/>
  <c r="AE68" i="33"/>
  <c r="Q68" i="33"/>
  <c r="AF68" i="33"/>
  <c r="R68" i="33"/>
  <c r="G68" i="33"/>
  <c r="AF69" i="33"/>
  <c r="AE69" i="33"/>
  <c r="AD72" i="32"/>
  <c r="Y73" i="1"/>
  <c r="D73" i="33"/>
  <c r="R73" i="32"/>
  <c r="AA69" i="1"/>
  <c r="G69" i="33"/>
  <c r="T69" i="33"/>
  <c r="U69" i="33" s="1"/>
  <c r="AA69" i="33" s="1"/>
  <c r="I69" i="33"/>
  <c r="M69" i="33" s="1"/>
  <c r="N69" i="33" s="1"/>
  <c r="R69" i="33"/>
  <c r="Q69" i="33"/>
  <c r="Q74" i="32"/>
  <c r="Y74" i="1" s="1"/>
  <c r="S79" i="7"/>
  <c r="T79" i="7" s="1"/>
  <c r="AJ79" i="7"/>
  <c r="U75" i="25"/>
  <c r="H75" i="32"/>
  <c r="G75" i="32" s="1"/>
  <c r="U77" i="19"/>
  <c r="AF77" i="19" s="1"/>
  <c r="I76" i="32"/>
  <c r="AI77" i="7"/>
  <c r="AL77" i="7" s="1"/>
  <c r="AK76" i="7"/>
  <c r="AN76" i="7" s="1"/>
  <c r="B75" i="32" s="1"/>
  <c r="C75" i="32" s="1"/>
  <c r="V75" i="32" s="1"/>
  <c r="R76" i="25"/>
  <c r="H76" i="32" s="1"/>
  <c r="G77" i="19"/>
  <c r="AH77" i="19" s="1"/>
  <c r="Y78" i="7"/>
  <c r="S76" i="25"/>
  <c r="G76" i="32" l="1"/>
  <c r="AM77" i="7"/>
  <c r="X76" i="1" s="1"/>
  <c r="AB76" i="1" s="1"/>
  <c r="AF77" i="7"/>
  <c r="Z78" i="7"/>
  <c r="X78" i="7"/>
  <c r="O78" i="7" s="1"/>
  <c r="Z69" i="33"/>
  <c r="Z68" i="33"/>
  <c r="AE78" i="7"/>
  <c r="G78" i="19" s="1"/>
  <c r="AH78" i="19" s="1"/>
  <c r="Q78" i="19"/>
  <c r="U78" i="19" s="1"/>
  <c r="AF78" i="19" s="1"/>
  <c r="V79" i="7"/>
  <c r="Y72" i="1"/>
  <c r="R72" i="32"/>
  <c r="D72" i="33"/>
  <c r="AE70" i="32"/>
  <c r="AM71" i="19"/>
  <c r="B70" i="33"/>
  <c r="AK71" i="19"/>
  <c r="AL71" i="19"/>
  <c r="AN71" i="19"/>
  <c r="U79" i="7"/>
  <c r="D74" i="33"/>
  <c r="AJ73" i="19"/>
  <c r="AE72" i="32" s="1"/>
  <c r="AD72" i="33"/>
  <c r="AG68" i="33"/>
  <c r="AN72" i="19"/>
  <c r="AK72" i="19"/>
  <c r="AM72" i="19"/>
  <c r="AL72" i="19"/>
  <c r="B71" i="33"/>
  <c r="AG69" i="33"/>
  <c r="AD73" i="32"/>
  <c r="R74" i="32"/>
  <c r="Q75" i="32"/>
  <c r="Y75" i="1" s="1"/>
  <c r="S80" i="7"/>
  <c r="T80" i="7" s="1"/>
  <c r="AJ80" i="7"/>
  <c r="AD75" i="25"/>
  <c r="Y76" i="19" s="1"/>
  <c r="AA76" i="19" s="1"/>
  <c r="AC76" i="19" s="1"/>
  <c r="AM78" i="7"/>
  <c r="X77" i="1" s="1"/>
  <c r="AB77" i="1" s="1"/>
  <c r="AI78" i="7"/>
  <c r="AL78" i="7" s="1"/>
  <c r="AK77" i="7"/>
  <c r="AN77" i="7" s="1"/>
  <c r="B76" i="32" s="1"/>
  <c r="C76" i="32" s="1"/>
  <c r="U76" i="25"/>
  <c r="H77" i="33" l="1"/>
  <c r="I77" i="32"/>
  <c r="AE79" i="7"/>
  <c r="U80" i="7"/>
  <c r="R75" i="32"/>
  <c r="S77" i="25"/>
  <c r="R77" i="25"/>
  <c r="H77" i="32" s="1"/>
  <c r="V76" i="32"/>
  <c r="AF78" i="7"/>
  <c r="Z79" i="7"/>
  <c r="X79" i="7"/>
  <c r="O79" i="7" s="1"/>
  <c r="Y79" i="7"/>
  <c r="Q79" i="19"/>
  <c r="I78" i="32" s="1"/>
  <c r="F78" i="19"/>
  <c r="E70" i="33"/>
  <c r="P70" i="33" s="1"/>
  <c r="V80" i="7"/>
  <c r="Z70" i="1"/>
  <c r="AT71" i="19"/>
  <c r="AF79" i="7"/>
  <c r="AJ74" i="19"/>
  <c r="AE73" i="32" s="1"/>
  <c r="AD73" i="33"/>
  <c r="E71" i="33"/>
  <c r="P71" i="33" s="1"/>
  <c r="Z71" i="1"/>
  <c r="AT72" i="19"/>
  <c r="AK73" i="19"/>
  <c r="AM73" i="19"/>
  <c r="B72" i="33"/>
  <c r="AN73" i="19"/>
  <c r="AL73" i="19"/>
  <c r="AD74" i="32"/>
  <c r="D75" i="33"/>
  <c r="S81" i="7"/>
  <c r="U81" i="7" s="1"/>
  <c r="AJ81" i="7"/>
  <c r="AD76" i="25"/>
  <c r="Y77" i="19" s="1"/>
  <c r="AA77" i="19" s="1"/>
  <c r="AC77" i="19" s="1"/>
  <c r="AK78" i="7"/>
  <c r="AN78" i="7" s="1"/>
  <c r="B77" i="32" s="1"/>
  <c r="C77" i="32" s="1"/>
  <c r="V77" i="32" s="1"/>
  <c r="R78" i="25"/>
  <c r="H78" i="32" s="1"/>
  <c r="F79" i="19"/>
  <c r="G79" i="19"/>
  <c r="AH79" i="19" s="1"/>
  <c r="S78" i="25"/>
  <c r="AI79" i="7" l="1"/>
  <c r="AL79" i="7" s="1"/>
  <c r="U79" i="19"/>
  <c r="AF79" i="19" s="1"/>
  <c r="AE80" i="7"/>
  <c r="F80" i="19" s="1"/>
  <c r="G77" i="32"/>
  <c r="Q80" i="19"/>
  <c r="U80" i="19" s="1"/>
  <c r="AF80" i="19" s="1"/>
  <c r="Q76" i="32"/>
  <c r="T81" i="7"/>
  <c r="V81" i="7" s="1"/>
  <c r="U77" i="25"/>
  <c r="AM79" i="7"/>
  <c r="X78" i="1" s="1"/>
  <c r="AB78" i="1" s="1"/>
  <c r="Z80" i="7"/>
  <c r="X80" i="7"/>
  <c r="O80" i="7" s="1"/>
  <c r="Y80" i="7"/>
  <c r="H78" i="33"/>
  <c r="AA70" i="1"/>
  <c r="Q70" i="33"/>
  <c r="AF70" i="33"/>
  <c r="T70" i="33"/>
  <c r="U70" i="33" s="1"/>
  <c r="AA70" i="33" s="1"/>
  <c r="G70" i="33"/>
  <c r="I70" i="33"/>
  <c r="M70" i="33" s="1"/>
  <c r="N70" i="33" s="1"/>
  <c r="R70" i="33"/>
  <c r="AE70" i="33"/>
  <c r="G78" i="32"/>
  <c r="AJ75" i="19"/>
  <c r="AD74" i="33"/>
  <c r="AT73" i="19"/>
  <c r="Z72" i="1"/>
  <c r="E72" i="33"/>
  <c r="P72" i="33" s="1"/>
  <c r="AA71" i="1"/>
  <c r="Q71" i="33"/>
  <c r="T71" i="33"/>
  <c r="U71" i="33" s="1"/>
  <c r="AA71" i="33" s="1"/>
  <c r="R71" i="33"/>
  <c r="G71" i="33"/>
  <c r="I71" i="33"/>
  <c r="M71" i="33" s="1"/>
  <c r="N71" i="33" s="1"/>
  <c r="AF71" i="33"/>
  <c r="AE71" i="33"/>
  <c r="AK74" i="19"/>
  <c r="AN74" i="19"/>
  <c r="AL74" i="19"/>
  <c r="AM74" i="19"/>
  <c r="B73" i="33"/>
  <c r="E73" i="33" s="1"/>
  <c r="AD75" i="32"/>
  <c r="D76" i="33"/>
  <c r="Q77" i="32"/>
  <c r="U78" i="25"/>
  <c r="AD78" i="25" s="1"/>
  <c r="Y79" i="19" s="1"/>
  <c r="AA79" i="19" s="1"/>
  <c r="AC79" i="19" s="1"/>
  <c r="S79" i="25"/>
  <c r="S82" i="7"/>
  <c r="T82" i="7" s="1"/>
  <c r="AJ82" i="7"/>
  <c r="AD77" i="25"/>
  <c r="Y78" i="19" s="1"/>
  <c r="AA78" i="19" s="1"/>
  <c r="AC78" i="19" s="1"/>
  <c r="AK79" i="7"/>
  <c r="AN79" i="7" s="1"/>
  <c r="B78" i="32" s="1"/>
  <c r="C78" i="32" s="1"/>
  <c r="V78" i="32" s="1"/>
  <c r="R79" i="25"/>
  <c r="G80" i="19"/>
  <c r="AH80" i="19" s="1"/>
  <c r="I79" i="32" l="1"/>
  <c r="AI80" i="7"/>
  <c r="AL80" i="7" s="1"/>
  <c r="AF80" i="7"/>
  <c r="Y76" i="1"/>
  <c r="R76" i="32"/>
  <c r="AE81" i="7"/>
  <c r="F81" i="19" s="1"/>
  <c r="Y81" i="7"/>
  <c r="X81" i="7"/>
  <c r="O81" i="7" s="1"/>
  <c r="Z81" i="7"/>
  <c r="Q81" i="19"/>
  <c r="I80" i="32" s="1"/>
  <c r="AM80" i="7"/>
  <c r="X79" i="1" s="1"/>
  <c r="AB79" i="1" s="1"/>
  <c r="Z70" i="33"/>
  <c r="Z71" i="33"/>
  <c r="H80" i="33"/>
  <c r="H79" i="33"/>
  <c r="U82" i="7"/>
  <c r="AG70" i="33"/>
  <c r="V82" i="7"/>
  <c r="P73" i="33"/>
  <c r="R73" i="33"/>
  <c r="T73" i="33"/>
  <c r="U73" i="33" s="1"/>
  <c r="AA73" i="33" s="1"/>
  <c r="Q73" i="33"/>
  <c r="I73" i="33"/>
  <c r="M73" i="33" s="1"/>
  <c r="N73" i="33" s="1"/>
  <c r="AF73" i="33"/>
  <c r="G73" i="33"/>
  <c r="AE73" i="33"/>
  <c r="AK75" i="19"/>
  <c r="B74" i="33"/>
  <c r="AL75" i="19"/>
  <c r="AN75" i="19"/>
  <c r="AM75" i="19"/>
  <c r="AJ76" i="19"/>
  <c r="AE75" i="32" s="1"/>
  <c r="AD75" i="33"/>
  <c r="Z73" i="1"/>
  <c r="AT74" i="19"/>
  <c r="AG71" i="33"/>
  <c r="T72" i="33"/>
  <c r="U72" i="33" s="1"/>
  <c r="AA72" i="33" s="1"/>
  <c r="Q72" i="33"/>
  <c r="G72" i="33"/>
  <c r="AF72" i="33"/>
  <c r="I72" i="33"/>
  <c r="M72" i="33" s="1"/>
  <c r="N72" i="33" s="1"/>
  <c r="R72" i="33"/>
  <c r="AE72" i="33"/>
  <c r="AA72" i="1"/>
  <c r="AE74" i="32"/>
  <c r="AD76" i="32"/>
  <c r="Y77" i="1"/>
  <c r="D77" i="33"/>
  <c r="R77" i="32"/>
  <c r="AF81" i="7"/>
  <c r="Q78" i="32"/>
  <c r="U81" i="19"/>
  <c r="AF81" i="19" s="1"/>
  <c r="U79" i="25"/>
  <c r="H79" i="32"/>
  <c r="S83" i="7"/>
  <c r="U83" i="7" s="1"/>
  <c r="AJ83" i="7"/>
  <c r="AM81" i="7"/>
  <c r="X80" i="1" s="1"/>
  <c r="AB80" i="1" s="1"/>
  <c r="R80" i="25"/>
  <c r="H80" i="32" s="1"/>
  <c r="G81" i="19"/>
  <c r="AH81" i="19" s="1"/>
  <c r="S80" i="25"/>
  <c r="AJ84" i="7"/>
  <c r="AG73" i="33" l="1"/>
  <c r="Q82" i="19"/>
  <c r="I81" i="32" s="1"/>
  <c r="AI81" i="7"/>
  <c r="AL81" i="7" s="1"/>
  <c r="G79" i="32"/>
  <c r="G80" i="32"/>
  <c r="AK80" i="7"/>
  <c r="AN80" i="7" s="1"/>
  <c r="B79" i="32" s="1"/>
  <c r="C79" i="32" s="1"/>
  <c r="V79" i="32" s="1"/>
  <c r="Z82" i="7"/>
  <c r="T83" i="7"/>
  <c r="AE82" i="7"/>
  <c r="F82" i="19" s="1"/>
  <c r="Z72" i="33"/>
  <c r="Z73" i="33"/>
  <c r="X82" i="7"/>
  <c r="O82" i="7" s="1"/>
  <c r="Y82" i="7"/>
  <c r="V83" i="7"/>
  <c r="U80" i="25"/>
  <c r="AD80" i="25" s="1"/>
  <c r="Y81" i="19" s="1"/>
  <c r="AA81" i="19" s="1"/>
  <c r="AC81" i="19" s="1"/>
  <c r="AJ77" i="19"/>
  <c r="AE76" i="32" s="1"/>
  <c r="AD76" i="33"/>
  <c r="AA73" i="1"/>
  <c r="AG72" i="33"/>
  <c r="Z74" i="1"/>
  <c r="AT75" i="19"/>
  <c r="E74" i="33"/>
  <c r="P74" i="33" s="1"/>
  <c r="AK76" i="19"/>
  <c r="AL76" i="19"/>
  <c r="AM76" i="19"/>
  <c r="AN76" i="19"/>
  <c r="B75" i="33"/>
  <c r="AD77" i="32"/>
  <c r="Y78" i="1"/>
  <c r="R78" i="32"/>
  <c r="D78" i="33"/>
  <c r="U82" i="19"/>
  <c r="AF82" i="19" s="1"/>
  <c r="AD79" i="25"/>
  <c r="Y80" i="19" s="1"/>
  <c r="AA80" i="19" s="1"/>
  <c r="AC80" i="19" s="1"/>
  <c r="AK81" i="7"/>
  <c r="AN81" i="7" s="1"/>
  <c r="B80" i="32" s="1"/>
  <c r="C80" i="32" s="1"/>
  <c r="S81" i="25"/>
  <c r="AE83" i="7"/>
  <c r="AI82" i="7" l="1"/>
  <c r="AL82" i="7" s="1"/>
  <c r="Q79" i="32"/>
  <c r="R79" i="32" s="1"/>
  <c r="G82" i="19"/>
  <c r="AH82" i="19" s="1"/>
  <c r="AD78" i="32" s="1"/>
  <c r="AJ79" i="19" s="1"/>
  <c r="AE78" i="32" s="1"/>
  <c r="R81" i="25"/>
  <c r="H81" i="32" s="1"/>
  <c r="G81" i="32" s="1"/>
  <c r="Z83" i="7"/>
  <c r="H81" i="33"/>
  <c r="X83" i="7"/>
  <c r="O83" i="7" s="1"/>
  <c r="Y83" i="7"/>
  <c r="Q83" i="19"/>
  <c r="U83" i="19" s="1"/>
  <c r="AF83" i="19" s="1"/>
  <c r="V80" i="32"/>
  <c r="AM82" i="7"/>
  <c r="X81" i="1" s="1"/>
  <c r="AB81" i="1" s="1"/>
  <c r="AF82" i="7"/>
  <c r="AF83" i="7"/>
  <c r="AJ78" i="19"/>
  <c r="AE77" i="32" s="1"/>
  <c r="AD77" i="33"/>
  <c r="Z75" i="1"/>
  <c r="AT76" i="19"/>
  <c r="AK77" i="19"/>
  <c r="AN77" i="19"/>
  <c r="AM77" i="19"/>
  <c r="B76" i="33"/>
  <c r="AL77" i="19"/>
  <c r="E75" i="33"/>
  <c r="R74" i="33"/>
  <c r="Q74" i="33"/>
  <c r="T74" i="33"/>
  <c r="U74" i="33" s="1"/>
  <c r="AA74" i="33" s="1"/>
  <c r="G74" i="33"/>
  <c r="I74" i="33"/>
  <c r="M74" i="33" s="1"/>
  <c r="N74" i="33" s="1"/>
  <c r="AF74" i="33"/>
  <c r="AE74" i="33"/>
  <c r="AA74" i="1"/>
  <c r="S85" i="7"/>
  <c r="S84" i="7" s="1"/>
  <c r="T84" i="7" s="1"/>
  <c r="AJ85" i="7"/>
  <c r="Y79" i="1"/>
  <c r="AK82" i="7"/>
  <c r="AN82" i="7" s="1"/>
  <c r="B81" i="32" s="1"/>
  <c r="C81" i="32" s="1"/>
  <c r="AM83" i="7"/>
  <c r="X82" i="1" s="1"/>
  <c r="AB82" i="1" s="1"/>
  <c r="R82" i="25"/>
  <c r="H82" i="32" s="1"/>
  <c r="F83" i="19"/>
  <c r="G83" i="19"/>
  <c r="AH83" i="19" s="1"/>
  <c r="S82" i="25"/>
  <c r="AD78" i="33" l="1"/>
  <c r="D79" i="33"/>
  <c r="Q80" i="32"/>
  <c r="D80" i="33" s="1"/>
  <c r="U81" i="25"/>
  <c r="AD81" i="25" s="1"/>
  <c r="Y82" i="19" s="1"/>
  <c r="AA82" i="19" s="1"/>
  <c r="AC82" i="19" s="1"/>
  <c r="I82" i="32"/>
  <c r="G82" i="32" s="1"/>
  <c r="AI83" i="7"/>
  <c r="AL83" i="7" s="1"/>
  <c r="Z74" i="33"/>
  <c r="H82" i="33"/>
  <c r="V84" i="7"/>
  <c r="AE84" i="7" s="1"/>
  <c r="U85" i="7"/>
  <c r="V81" i="32"/>
  <c r="AG74" i="33"/>
  <c r="T85" i="7"/>
  <c r="U82" i="25"/>
  <c r="AD82" i="25" s="1"/>
  <c r="Y83" i="19" s="1"/>
  <c r="AA83" i="19" s="1"/>
  <c r="AC83" i="19" s="1"/>
  <c r="U84" i="7"/>
  <c r="T75" i="33"/>
  <c r="U75" i="33" s="1"/>
  <c r="AA75" i="33" s="1"/>
  <c r="Q75" i="33"/>
  <c r="AF75" i="33"/>
  <c r="I75" i="33"/>
  <c r="M75" i="33" s="1"/>
  <c r="N75" i="33" s="1"/>
  <c r="G75" i="33"/>
  <c r="AE75" i="33"/>
  <c r="R75" i="33"/>
  <c r="Z76" i="1"/>
  <c r="AT77" i="19"/>
  <c r="P75" i="33"/>
  <c r="AA75" i="1"/>
  <c r="AK78" i="19"/>
  <c r="AL78" i="19"/>
  <c r="B77" i="33"/>
  <c r="AM78" i="19"/>
  <c r="AN78" i="19"/>
  <c r="E76" i="33"/>
  <c r="P76" i="33" s="1"/>
  <c r="AN79" i="19"/>
  <c r="AK79" i="19"/>
  <c r="B78" i="33"/>
  <c r="AL79" i="19"/>
  <c r="AM79" i="19"/>
  <c r="AD79" i="32"/>
  <c r="S86" i="7"/>
  <c r="U86" i="7" s="1"/>
  <c r="AJ86" i="7"/>
  <c r="Y80" i="1" l="1"/>
  <c r="R80" i="32"/>
  <c r="Q81" i="32"/>
  <c r="Y81" i="1" s="1"/>
  <c r="AK83" i="7"/>
  <c r="AN83" i="7" s="1"/>
  <c r="B82" i="32" s="1"/>
  <c r="C82" i="32" s="1"/>
  <c r="V82" i="32" s="1"/>
  <c r="Z75" i="33"/>
  <c r="T86" i="7"/>
  <c r="V86" i="7" s="1"/>
  <c r="S83" i="25"/>
  <c r="R83" i="25"/>
  <c r="H83" i="32" s="1"/>
  <c r="G84" i="19"/>
  <c r="AH84" i="19" s="1"/>
  <c r="AD80" i="32" s="1"/>
  <c r="Y84" i="7"/>
  <c r="V85" i="7"/>
  <c r="Z85" i="7" s="1"/>
  <c r="X84" i="7"/>
  <c r="O84" i="7" s="1"/>
  <c r="V82" i="25"/>
  <c r="W82" i="25" s="1"/>
  <c r="AA82" i="25" s="1"/>
  <c r="AG75" i="33"/>
  <c r="Q84" i="19"/>
  <c r="Z84" i="7"/>
  <c r="Z77" i="1"/>
  <c r="AT78" i="19"/>
  <c r="E77" i="33"/>
  <c r="P77" i="33" s="1"/>
  <c r="AJ80" i="19"/>
  <c r="AE79" i="32" s="1"/>
  <c r="AD79" i="33"/>
  <c r="E78" i="33"/>
  <c r="P78" i="33" s="1"/>
  <c r="Z78" i="1"/>
  <c r="AT79" i="19"/>
  <c r="G76" i="33"/>
  <c r="T76" i="33"/>
  <c r="U76" i="33" s="1"/>
  <c r="AA76" i="33" s="1"/>
  <c r="I76" i="33"/>
  <c r="M76" i="33" s="1"/>
  <c r="N76" i="33" s="1"/>
  <c r="AF76" i="33"/>
  <c r="R76" i="33"/>
  <c r="Q76" i="33"/>
  <c r="AE76" i="33"/>
  <c r="AA76" i="1"/>
  <c r="D81" i="33"/>
  <c r="S87" i="7"/>
  <c r="T87" i="7" s="1"/>
  <c r="AJ87" i="7"/>
  <c r="X82" i="25" l="1"/>
  <c r="Y82" i="25" s="1"/>
  <c r="AB82" i="25" s="1"/>
  <c r="R81" i="32"/>
  <c r="U83" i="25"/>
  <c r="AD83" i="25" s="1"/>
  <c r="Y84" i="19" s="1"/>
  <c r="AA84" i="19" s="1"/>
  <c r="AC84" i="19" s="1"/>
  <c r="AE85" i="7"/>
  <c r="S84" i="25" s="1"/>
  <c r="U87" i="7"/>
  <c r="Q82" i="32"/>
  <c r="D82" i="33" s="1"/>
  <c r="Q85" i="19"/>
  <c r="Z76" i="33"/>
  <c r="AE86" i="7"/>
  <c r="Q86" i="19"/>
  <c r="U86" i="19" s="1"/>
  <c r="AF86" i="19" s="1"/>
  <c r="Z86" i="7"/>
  <c r="Y86" i="7"/>
  <c r="X86" i="7"/>
  <c r="O86" i="7" s="1"/>
  <c r="G85" i="19"/>
  <c r="AH85" i="19" s="1"/>
  <c r="AD81" i="32" s="1"/>
  <c r="V87" i="7"/>
  <c r="H83" i="33"/>
  <c r="AM84" i="7"/>
  <c r="X83" i="1" s="1"/>
  <c r="AB83" i="1" s="1"/>
  <c r="AI84" i="7"/>
  <c r="Y85" i="7"/>
  <c r="X85" i="7"/>
  <c r="O85" i="7" s="1"/>
  <c r="AF84" i="7"/>
  <c r="U84" i="19"/>
  <c r="AF84" i="19" s="1"/>
  <c r="I83" i="32"/>
  <c r="G83" i="32" s="1"/>
  <c r="AG76" i="33"/>
  <c r="AJ81" i="19"/>
  <c r="AE80" i="32" s="1"/>
  <c r="AD80" i="33"/>
  <c r="AA78" i="1"/>
  <c r="R78" i="33"/>
  <c r="AF78" i="33"/>
  <c r="G78" i="33"/>
  <c r="I78" i="33"/>
  <c r="M78" i="33" s="1"/>
  <c r="N78" i="33" s="1"/>
  <c r="Q78" i="33"/>
  <c r="AE78" i="33"/>
  <c r="AG78" i="33" s="1"/>
  <c r="T78" i="33"/>
  <c r="U78" i="33" s="1"/>
  <c r="AA78" i="33" s="1"/>
  <c r="AK80" i="19"/>
  <c r="AM80" i="19"/>
  <c r="AL80" i="19"/>
  <c r="B79" i="33"/>
  <c r="AN80" i="19"/>
  <c r="T77" i="33"/>
  <c r="U77" i="33" s="1"/>
  <c r="AA77" i="33" s="1"/>
  <c r="Q77" i="33"/>
  <c r="G77" i="33"/>
  <c r="I77" i="33"/>
  <c r="M77" i="33" s="1"/>
  <c r="N77" i="33" s="1"/>
  <c r="AF77" i="33"/>
  <c r="R77" i="33"/>
  <c r="AE77" i="33"/>
  <c r="AA77" i="1"/>
  <c r="S88" i="7"/>
  <c r="U88" i="7" s="1"/>
  <c r="AJ88" i="7"/>
  <c r="AI86" i="7"/>
  <c r="AL86" i="7" s="1"/>
  <c r="AE87" i="7"/>
  <c r="AG77" i="33" l="1"/>
  <c r="R82" i="32"/>
  <c r="F85" i="19"/>
  <c r="AF86" i="7"/>
  <c r="F86" i="19"/>
  <c r="S85" i="25"/>
  <c r="G86" i="19"/>
  <c r="AH86" i="19" s="1"/>
  <c r="R85" i="25"/>
  <c r="H85" i="32" s="1"/>
  <c r="AM86" i="7"/>
  <c r="X85" i="1" s="1"/>
  <c r="AB85" i="1" s="1"/>
  <c r="Q87" i="19"/>
  <c r="U87" i="19" s="1"/>
  <c r="AF87" i="19" s="1"/>
  <c r="Z87" i="7"/>
  <c r="I85" i="32"/>
  <c r="G85" i="32" s="1"/>
  <c r="Y82" i="1"/>
  <c r="V83" i="25"/>
  <c r="W83" i="25" s="1"/>
  <c r="AA83" i="25" s="1"/>
  <c r="R84" i="25"/>
  <c r="H84" i="32" s="1"/>
  <c r="X87" i="7"/>
  <c r="O87" i="7" s="1"/>
  <c r="Y87" i="7"/>
  <c r="I84" i="32"/>
  <c r="U85" i="19"/>
  <c r="AF85" i="19" s="1"/>
  <c r="Z77" i="33"/>
  <c r="Z78" i="33"/>
  <c r="H86" i="33"/>
  <c r="H85" i="33"/>
  <c r="H84" i="33"/>
  <c r="AF85" i="7"/>
  <c r="AM85" i="7"/>
  <c r="X84" i="1" s="1"/>
  <c r="AB84" i="1" s="1"/>
  <c r="AI85" i="7"/>
  <c r="AL84" i="7"/>
  <c r="AK84" i="7"/>
  <c r="AN84" i="7" s="1"/>
  <c r="B83" i="32" s="1"/>
  <c r="C83" i="32" s="1"/>
  <c r="T88" i="7"/>
  <c r="Z79" i="1"/>
  <c r="AT80" i="19"/>
  <c r="AJ82" i="19"/>
  <c r="AE81" i="32" s="1"/>
  <c r="AD81" i="33"/>
  <c r="E79" i="33"/>
  <c r="P79" i="33" s="1"/>
  <c r="AK81" i="19"/>
  <c r="B80" i="33"/>
  <c r="AL81" i="19"/>
  <c r="AN81" i="19"/>
  <c r="AM81" i="19"/>
  <c r="AD82" i="32"/>
  <c r="S89" i="7"/>
  <c r="T89" i="7" s="1"/>
  <c r="AJ89" i="7"/>
  <c r="I86" i="32"/>
  <c r="AK86" i="7"/>
  <c r="AN86" i="7" s="1"/>
  <c r="B85" i="32" s="1"/>
  <c r="C85" i="32" s="1"/>
  <c r="V85" i="32" s="1"/>
  <c r="AM87" i="7"/>
  <c r="X86" i="1" s="1"/>
  <c r="AB86" i="1" s="1"/>
  <c r="R86" i="25"/>
  <c r="H86" i="32" s="1"/>
  <c r="F87" i="19"/>
  <c r="G87" i="19"/>
  <c r="AH87" i="19" s="1"/>
  <c r="S86" i="25"/>
  <c r="G84" i="32" l="1"/>
  <c r="U85" i="25"/>
  <c r="AD85" i="25" s="1"/>
  <c r="Y86" i="19" s="1"/>
  <c r="AA86" i="19" s="1"/>
  <c r="AC86" i="19" s="1"/>
  <c r="G86" i="32"/>
  <c r="AF87" i="7"/>
  <c r="AI87" i="7"/>
  <c r="AL87" i="7" s="1"/>
  <c r="U84" i="25"/>
  <c r="AD84" i="25" s="1"/>
  <c r="Y85" i="19" s="1"/>
  <c r="AA85" i="19" s="1"/>
  <c r="AC85" i="19" s="1"/>
  <c r="X83" i="25"/>
  <c r="Y83" i="25" s="1"/>
  <c r="AB83" i="25" s="1"/>
  <c r="V89" i="7"/>
  <c r="V83" i="32"/>
  <c r="Q83" i="32"/>
  <c r="AL85" i="7"/>
  <c r="AK85" i="7"/>
  <c r="AN85" i="7" s="1"/>
  <c r="B84" i="32" s="1"/>
  <c r="C84" i="32" s="1"/>
  <c r="V88" i="7"/>
  <c r="U89" i="7"/>
  <c r="Z89" i="7" s="1"/>
  <c r="Z80" i="1"/>
  <c r="AT81" i="19"/>
  <c r="AJ83" i="19"/>
  <c r="AE82" i="32" s="1"/>
  <c r="AD82" i="33"/>
  <c r="T79" i="33"/>
  <c r="U79" i="33" s="1"/>
  <c r="AA79" i="33" s="1"/>
  <c r="G79" i="33"/>
  <c r="AE79" i="33"/>
  <c r="Q79" i="33"/>
  <c r="R79" i="33"/>
  <c r="AF79" i="33"/>
  <c r="I79" i="33"/>
  <c r="M79" i="33" s="1"/>
  <c r="N79" i="33" s="1"/>
  <c r="AA79" i="1"/>
  <c r="E80" i="33"/>
  <c r="P80" i="33" s="1"/>
  <c r="AK82" i="19"/>
  <c r="B81" i="33"/>
  <c r="AM82" i="19"/>
  <c r="AL82" i="19"/>
  <c r="AN82" i="19"/>
  <c r="AD83" i="32"/>
  <c r="Q85" i="32"/>
  <c r="S90" i="7"/>
  <c r="T90" i="7" s="1"/>
  <c r="AJ90" i="7"/>
  <c r="AK87" i="7"/>
  <c r="AN87" i="7" s="1"/>
  <c r="B86" i="32" s="1"/>
  <c r="C86" i="32" s="1"/>
  <c r="U86" i="25"/>
  <c r="Q89" i="19"/>
  <c r="AE89" i="7" l="1"/>
  <c r="X89" i="7"/>
  <c r="O89" i="7" s="1"/>
  <c r="Y89" i="7"/>
  <c r="Z79" i="33"/>
  <c r="H88" i="33"/>
  <c r="U90" i="7"/>
  <c r="V84" i="32"/>
  <c r="Q84" i="32"/>
  <c r="R83" i="32"/>
  <c r="Y83" i="1"/>
  <c r="D83" i="33"/>
  <c r="V90" i="7"/>
  <c r="Z88" i="7"/>
  <c r="Y88" i="7"/>
  <c r="X88" i="7"/>
  <c r="O88" i="7" s="1"/>
  <c r="AE88" i="7"/>
  <c r="Q88" i="19"/>
  <c r="AJ84" i="19"/>
  <c r="AE83" i="32" s="1"/>
  <c r="AD83" i="33"/>
  <c r="E81" i="33"/>
  <c r="P81" i="33" s="1"/>
  <c r="Z81" i="1"/>
  <c r="AT82" i="19"/>
  <c r="R80" i="33"/>
  <c r="T80" i="33"/>
  <c r="U80" i="33" s="1"/>
  <c r="AA80" i="33" s="1"/>
  <c r="I80" i="33"/>
  <c r="M80" i="33" s="1"/>
  <c r="N80" i="33" s="1"/>
  <c r="Q80" i="33"/>
  <c r="G80" i="33"/>
  <c r="AF80" i="33"/>
  <c r="AE80" i="33"/>
  <c r="AG79" i="33"/>
  <c r="AN83" i="19"/>
  <c r="AM83" i="19"/>
  <c r="AK83" i="19"/>
  <c r="B82" i="33"/>
  <c r="AL83" i="19"/>
  <c r="AA80" i="1"/>
  <c r="Y85" i="1"/>
  <c r="R85" i="32"/>
  <c r="D85" i="33"/>
  <c r="AF89" i="7"/>
  <c r="U89" i="19"/>
  <c r="AF89" i="19" s="1"/>
  <c r="I88" i="32"/>
  <c r="S91" i="7"/>
  <c r="T91" i="7" s="1"/>
  <c r="AJ91" i="7"/>
  <c r="AD86" i="25"/>
  <c r="Y87" i="19" s="1"/>
  <c r="AA87" i="19" s="1"/>
  <c r="AC87" i="19" s="1"/>
  <c r="AM89" i="7"/>
  <c r="X88" i="1" s="1"/>
  <c r="AB88" i="1" s="1"/>
  <c r="R88" i="25"/>
  <c r="H88" i="32" s="1"/>
  <c r="G88" i="32" s="1"/>
  <c r="F89" i="19"/>
  <c r="G89" i="19"/>
  <c r="AH89" i="19" s="1"/>
  <c r="Y90" i="7"/>
  <c r="S88" i="25"/>
  <c r="AI89" i="7" l="1"/>
  <c r="AL89" i="7" s="1"/>
  <c r="Z90" i="7"/>
  <c r="X90" i="7"/>
  <c r="O90" i="7" s="1"/>
  <c r="Q90" i="19"/>
  <c r="I89" i="32" s="1"/>
  <c r="U91" i="7"/>
  <c r="AE90" i="7"/>
  <c r="Z80" i="33"/>
  <c r="H89" i="33"/>
  <c r="V91" i="7"/>
  <c r="F88" i="19"/>
  <c r="G88" i="19"/>
  <c r="AH88" i="19" s="1"/>
  <c r="AD84" i="32" s="1"/>
  <c r="AJ85" i="19" s="1"/>
  <c r="AE84" i="32" s="1"/>
  <c r="AF88" i="7"/>
  <c r="R87" i="25"/>
  <c r="H87" i="32" s="1"/>
  <c r="S87" i="25"/>
  <c r="R84" i="32"/>
  <c r="Y84" i="1"/>
  <c r="D84" i="33"/>
  <c r="I87" i="32"/>
  <c r="U88" i="19"/>
  <c r="AF88" i="19" s="1"/>
  <c r="H87" i="33"/>
  <c r="AI88" i="7"/>
  <c r="AM88" i="7"/>
  <c r="X87" i="1" s="1"/>
  <c r="AB87" i="1" s="1"/>
  <c r="AG80" i="33"/>
  <c r="E82" i="33"/>
  <c r="P82" i="33" s="1"/>
  <c r="Z82" i="1"/>
  <c r="AT83" i="19"/>
  <c r="G81" i="33"/>
  <c r="Q81" i="33"/>
  <c r="T81" i="33"/>
  <c r="U81" i="33" s="1"/>
  <c r="AA81" i="33" s="1"/>
  <c r="I81" i="33"/>
  <c r="M81" i="33" s="1"/>
  <c r="N81" i="33" s="1"/>
  <c r="R81" i="33"/>
  <c r="AF81" i="33"/>
  <c r="AE81" i="33"/>
  <c r="AN84" i="19"/>
  <c r="AM84" i="19"/>
  <c r="AK84" i="19"/>
  <c r="AL84" i="19"/>
  <c r="B83" i="33"/>
  <c r="AA81" i="1"/>
  <c r="U88" i="25"/>
  <c r="AD88" i="25" s="1"/>
  <c r="Y89" i="19" s="1"/>
  <c r="AA89" i="19" s="1"/>
  <c r="AC89" i="19" s="1"/>
  <c r="S92" i="7"/>
  <c r="U92" i="7" s="1"/>
  <c r="AJ92" i="7"/>
  <c r="AK89" i="7"/>
  <c r="AN89" i="7" s="1"/>
  <c r="B88" i="32" s="1"/>
  <c r="C88" i="32" s="1"/>
  <c r="AI90" i="7"/>
  <c r="AL90" i="7" s="1"/>
  <c r="Z91" i="7" l="1"/>
  <c r="AM90" i="7"/>
  <c r="X89" i="1" s="1"/>
  <c r="AB89" i="1" s="1"/>
  <c r="AF90" i="7"/>
  <c r="G90" i="19"/>
  <c r="AH90" i="19" s="1"/>
  <c r="AD86" i="32" s="1"/>
  <c r="U90" i="19"/>
  <c r="AF90" i="19" s="1"/>
  <c r="X91" i="7"/>
  <c r="O91" i="7" s="1"/>
  <c r="R89" i="25"/>
  <c r="H89" i="32" s="1"/>
  <c r="S89" i="25"/>
  <c r="Y91" i="7"/>
  <c r="F90" i="19"/>
  <c r="V88" i="32"/>
  <c r="Z81" i="33"/>
  <c r="T92" i="7"/>
  <c r="Q91" i="19"/>
  <c r="U91" i="19" s="1"/>
  <c r="AF91" i="19" s="1"/>
  <c r="AE91" i="7"/>
  <c r="AD84" i="33"/>
  <c r="U87" i="25"/>
  <c r="AD87" i="25" s="1"/>
  <c r="Y88" i="19" s="1"/>
  <c r="AA88" i="19" s="1"/>
  <c r="AC88" i="19" s="1"/>
  <c r="AD85" i="32"/>
  <c r="V92" i="7"/>
  <c r="AL88" i="7"/>
  <c r="AK88" i="7"/>
  <c r="AN88" i="7" s="1"/>
  <c r="B87" i="32" s="1"/>
  <c r="C87" i="32" s="1"/>
  <c r="G87" i="32"/>
  <c r="V86" i="32"/>
  <c r="Q86" i="32"/>
  <c r="AG81" i="33"/>
  <c r="E83" i="33"/>
  <c r="P83" i="33" s="1"/>
  <c r="Z83" i="1"/>
  <c r="AT84" i="19"/>
  <c r="AA82" i="1"/>
  <c r="T82" i="33"/>
  <c r="U82" i="33" s="1"/>
  <c r="AA82" i="33" s="1"/>
  <c r="I82" i="33"/>
  <c r="M82" i="33" s="1"/>
  <c r="N82" i="33" s="1"/>
  <c r="Q82" i="33"/>
  <c r="G82" i="33"/>
  <c r="R82" i="33"/>
  <c r="AF82" i="33"/>
  <c r="AE82" i="33"/>
  <c r="AK85" i="19"/>
  <c r="AM85" i="19"/>
  <c r="AL85" i="19"/>
  <c r="AN85" i="19"/>
  <c r="B84" i="33"/>
  <c r="G89" i="32"/>
  <c r="Q88" i="32"/>
  <c r="Y88" i="1" s="1"/>
  <c r="S93" i="7"/>
  <c r="T93" i="7" s="1"/>
  <c r="AJ93" i="7"/>
  <c r="I90" i="32"/>
  <c r="AK90" i="7"/>
  <c r="AN90" i="7" s="1"/>
  <c r="B89" i="32" s="1"/>
  <c r="C89" i="32" s="1"/>
  <c r="R90" i="25"/>
  <c r="H90" i="32" s="1"/>
  <c r="G91" i="19"/>
  <c r="AH91" i="19" s="1"/>
  <c r="H90" i="33" l="1"/>
  <c r="Z92" i="7"/>
  <c r="U89" i="25"/>
  <c r="AD89" i="25" s="1"/>
  <c r="Y90" i="19" s="1"/>
  <c r="AA90" i="19" s="1"/>
  <c r="AC90" i="19" s="1"/>
  <c r="AI91" i="7"/>
  <c r="AL91" i="7" s="1"/>
  <c r="AM91" i="7"/>
  <c r="X90" i="1" s="1"/>
  <c r="AB90" i="1" s="1"/>
  <c r="AF91" i="7"/>
  <c r="Q92" i="19"/>
  <c r="I91" i="32" s="1"/>
  <c r="S90" i="25"/>
  <c r="U90" i="25" s="1"/>
  <c r="AD90" i="25" s="1"/>
  <c r="Y91" i="19" s="1"/>
  <c r="AA91" i="19" s="1"/>
  <c r="AC91" i="19" s="1"/>
  <c r="AE92" i="7"/>
  <c r="G92" i="19" s="1"/>
  <c r="AH92" i="19" s="1"/>
  <c r="AD88" i="32" s="1"/>
  <c r="F91" i="19"/>
  <c r="Z82" i="33"/>
  <c r="X92" i="7"/>
  <c r="O92" i="7" s="1"/>
  <c r="Y92" i="7"/>
  <c r="V89" i="32"/>
  <c r="AD85" i="33"/>
  <c r="AJ86" i="19"/>
  <c r="V87" i="32"/>
  <c r="Q87" i="32"/>
  <c r="V93" i="7"/>
  <c r="Y86" i="1"/>
  <c r="R86" i="32"/>
  <c r="D86" i="33"/>
  <c r="U93" i="7"/>
  <c r="Q93" i="19" s="1"/>
  <c r="AF92" i="7"/>
  <c r="E84" i="33"/>
  <c r="AJ87" i="19"/>
  <c r="AE86" i="32" s="1"/>
  <c r="AD86" i="33"/>
  <c r="AT85" i="19"/>
  <c r="Z84" i="1"/>
  <c r="AG82" i="33"/>
  <c r="AA83" i="1"/>
  <c r="G83" i="33"/>
  <c r="Q83" i="33"/>
  <c r="T83" i="33"/>
  <c r="U83" i="33" s="1"/>
  <c r="AA83" i="33" s="1"/>
  <c r="I83" i="33"/>
  <c r="M83" i="33" s="1"/>
  <c r="N83" i="33" s="1"/>
  <c r="R83" i="33"/>
  <c r="AF83" i="33"/>
  <c r="AE83" i="33"/>
  <c r="AD87" i="32"/>
  <c r="D88" i="33"/>
  <c r="R88" i="32"/>
  <c r="G90" i="32"/>
  <c r="S94" i="7"/>
  <c r="U94" i="7" s="1"/>
  <c r="AJ94" i="7"/>
  <c r="U92" i="19"/>
  <c r="AF92" i="19" s="1"/>
  <c r="AK91" i="7"/>
  <c r="AN91" i="7" s="1"/>
  <c r="B90" i="32" s="1"/>
  <c r="C90" i="32" s="1"/>
  <c r="R91" i="25"/>
  <c r="H91" i="32" s="1"/>
  <c r="AM92" i="7" l="1"/>
  <c r="X91" i="1" s="1"/>
  <c r="AB91" i="1" s="1"/>
  <c r="T94" i="7"/>
  <c r="Z93" i="7"/>
  <c r="AE93" i="7"/>
  <c r="X93" i="7"/>
  <c r="O93" i="7" s="1"/>
  <c r="Y93" i="7"/>
  <c r="S91" i="25"/>
  <c r="U91" i="25" s="1"/>
  <c r="AD91" i="25" s="1"/>
  <c r="Y92" i="19" s="1"/>
  <c r="AA92" i="19" s="1"/>
  <c r="AC92" i="19" s="1"/>
  <c r="F92" i="19"/>
  <c r="AI92" i="7"/>
  <c r="AL92" i="7" s="1"/>
  <c r="V90" i="32"/>
  <c r="Q89" i="32"/>
  <c r="D89" i="33" s="1"/>
  <c r="Z83" i="33"/>
  <c r="H91" i="33"/>
  <c r="AE85" i="32"/>
  <c r="AM86" i="19"/>
  <c r="B85" i="33"/>
  <c r="E85" i="33" s="1"/>
  <c r="P85" i="33" s="1"/>
  <c r="AN86" i="19"/>
  <c r="AK86" i="19"/>
  <c r="AL86" i="19"/>
  <c r="G91" i="32"/>
  <c r="Y87" i="1"/>
  <c r="D87" i="33"/>
  <c r="R87" i="32"/>
  <c r="V94" i="7"/>
  <c r="AG83" i="33"/>
  <c r="AA84" i="1"/>
  <c r="AF84" i="33"/>
  <c r="T84" i="33"/>
  <c r="U84" i="33" s="1"/>
  <c r="AA84" i="33" s="1"/>
  <c r="Q84" i="33"/>
  <c r="R84" i="33"/>
  <c r="AE84" i="33"/>
  <c r="I84" i="33"/>
  <c r="M84" i="33" s="1"/>
  <c r="N84" i="33" s="1"/>
  <c r="G84" i="33"/>
  <c r="AJ89" i="19"/>
  <c r="AD88" i="33"/>
  <c r="AJ88" i="19"/>
  <c r="AE87" i="32" s="1"/>
  <c r="AD87" i="33"/>
  <c r="R85" i="33"/>
  <c r="AK87" i="19"/>
  <c r="AL87" i="19"/>
  <c r="AM87" i="19"/>
  <c r="B86" i="33"/>
  <c r="AN87" i="19"/>
  <c r="P84" i="33"/>
  <c r="S95" i="7"/>
  <c r="U95" i="7" s="1"/>
  <c r="AJ95" i="7"/>
  <c r="U93" i="19"/>
  <c r="AF93" i="19" s="1"/>
  <c r="I92" i="32"/>
  <c r="R92" i="25"/>
  <c r="H92" i="32" s="1"/>
  <c r="F93" i="19"/>
  <c r="S92" i="25"/>
  <c r="G93" i="19"/>
  <c r="AH93" i="19" s="1"/>
  <c r="AG84" i="33" l="1"/>
  <c r="X94" i="7"/>
  <c r="O94" i="7" s="1"/>
  <c r="AK92" i="7"/>
  <c r="AN92" i="7" s="1"/>
  <c r="B91" i="32" s="1"/>
  <c r="C91" i="32" s="1"/>
  <c r="V91" i="32" s="1"/>
  <c r="Z94" i="7"/>
  <c r="Y94" i="7"/>
  <c r="R89" i="32"/>
  <c r="Q94" i="19"/>
  <c r="I93" i="32" s="1"/>
  <c r="AE94" i="7"/>
  <c r="AF94" i="7" s="1"/>
  <c r="AI93" i="7"/>
  <c r="AL93" i="7" s="1"/>
  <c r="AF93" i="7"/>
  <c r="Y89" i="1"/>
  <c r="G92" i="32"/>
  <c r="AM93" i="7"/>
  <c r="X92" i="1" s="1"/>
  <c r="AB92" i="1" s="1"/>
  <c r="H92" i="33"/>
  <c r="Q90" i="32"/>
  <c r="Y90" i="1" s="1"/>
  <c r="G85" i="33"/>
  <c r="T85" i="33"/>
  <c r="U85" i="33" s="1"/>
  <c r="AA85" i="33" s="1"/>
  <c r="Z84" i="33"/>
  <c r="H93" i="33"/>
  <c r="U92" i="25"/>
  <c r="V92" i="25" s="1"/>
  <c r="W92" i="25" s="1"/>
  <c r="AA92" i="25" s="1"/>
  <c r="Q85" i="33"/>
  <c r="AE85" i="33"/>
  <c r="I85" i="33"/>
  <c r="M85" i="33" s="1"/>
  <c r="N85" i="33" s="1"/>
  <c r="AF85" i="33"/>
  <c r="Z85" i="1"/>
  <c r="AT86" i="19"/>
  <c r="T95" i="7"/>
  <c r="AT87" i="19"/>
  <c r="Z86" i="1"/>
  <c r="AN89" i="19"/>
  <c r="AL89" i="19"/>
  <c r="AK89" i="19"/>
  <c r="B88" i="33"/>
  <c r="AM89" i="19"/>
  <c r="E86" i="33"/>
  <c r="P86" i="33" s="1"/>
  <c r="AK88" i="19"/>
  <c r="AL88" i="19"/>
  <c r="AM88" i="19"/>
  <c r="AN88" i="19"/>
  <c r="B87" i="33"/>
  <c r="E87" i="33" s="1"/>
  <c r="AF87" i="33" s="1"/>
  <c r="AE88" i="32"/>
  <c r="AD89" i="32"/>
  <c r="S96" i="7"/>
  <c r="S97" i="7" s="1"/>
  <c r="AJ97" i="7"/>
  <c r="AJ96" i="7"/>
  <c r="U94" i="19"/>
  <c r="AF94" i="19" s="1"/>
  <c r="AK93" i="7"/>
  <c r="AN93" i="7" s="1"/>
  <c r="B92" i="32" s="1"/>
  <c r="C92" i="32" s="1"/>
  <c r="V92" i="32" s="1"/>
  <c r="AI94" i="7"/>
  <c r="AL94" i="7" s="1"/>
  <c r="Q91" i="32" l="1"/>
  <c r="F94" i="19"/>
  <c r="AM94" i="7"/>
  <c r="X93" i="1" s="1"/>
  <c r="AB93" i="1" s="1"/>
  <c r="G94" i="19"/>
  <c r="AH94" i="19" s="1"/>
  <c r="AD90" i="32" s="1"/>
  <c r="AD92" i="25"/>
  <c r="Y93" i="19" s="1"/>
  <c r="AA93" i="19" s="1"/>
  <c r="AC93" i="19" s="1"/>
  <c r="AG85" i="33"/>
  <c r="P87" i="33"/>
  <c r="R90" i="32"/>
  <c r="S93" i="25"/>
  <c r="R93" i="25"/>
  <c r="H93" i="32" s="1"/>
  <c r="T87" i="33"/>
  <c r="U87" i="33" s="1"/>
  <c r="AA87" i="33" s="1"/>
  <c r="D90" i="33"/>
  <c r="U96" i="7"/>
  <c r="R87" i="33"/>
  <c r="Z85" i="33"/>
  <c r="G87" i="33"/>
  <c r="AA85" i="1"/>
  <c r="V95" i="7"/>
  <c r="T97" i="7"/>
  <c r="AE87" i="33"/>
  <c r="U97" i="7"/>
  <c r="T96" i="7"/>
  <c r="G93" i="32"/>
  <c r="I87" i="33"/>
  <c r="M87" i="33" s="1"/>
  <c r="N87" i="33" s="1"/>
  <c r="Q87" i="33"/>
  <c r="AJ91" i="19"/>
  <c r="AD90" i="33"/>
  <c r="AT88" i="19"/>
  <c r="Z87" i="1"/>
  <c r="Z88" i="1"/>
  <c r="AT89" i="19"/>
  <c r="AJ90" i="19"/>
  <c r="AD89" i="33"/>
  <c r="AG87" i="33"/>
  <c r="T86" i="33"/>
  <c r="U86" i="33" s="1"/>
  <c r="AA86" i="33" s="1"/>
  <c r="R86" i="33"/>
  <c r="G86" i="33"/>
  <c r="I86" i="33"/>
  <c r="M86" i="33" s="1"/>
  <c r="N86" i="33" s="1"/>
  <c r="Q86" i="33"/>
  <c r="AF86" i="33"/>
  <c r="AE86" i="33"/>
  <c r="E88" i="33"/>
  <c r="AA86" i="1"/>
  <c r="Y91" i="1"/>
  <c r="D91" i="33"/>
  <c r="R91" i="32"/>
  <c r="Q92" i="32"/>
  <c r="Y92" i="1" s="1"/>
  <c r="X92" i="25"/>
  <c r="Y92" i="25" s="1"/>
  <c r="AB92" i="25" s="1"/>
  <c r="AK94" i="7"/>
  <c r="AN94" i="7" s="1"/>
  <c r="B93" i="32" s="1"/>
  <c r="C93" i="32" s="1"/>
  <c r="V93" i="32" s="1"/>
  <c r="U93" i="25"/>
  <c r="Z86" i="33" l="1"/>
  <c r="Z87" i="33"/>
  <c r="V96" i="7"/>
  <c r="Y96" i="7" s="1"/>
  <c r="V97" i="7"/>
  <c r="X95" i="7"/>
  <c r="O95" i="7" s="1"/>
  <c r="Q95" i="19"/>
  <c r="AE95" i="7"/>
  <c r="Y95" i="7"/>
  <c r="Z95" i="7"/>
  <c r="X96" i="7"/>
  <c r="O96" i="7" s="1"/>
  <c r="AE88" i="33"/>
  <c r="T88" i="33"/>
  <c r="U88" i="33" s="1"/>
  <c r="AA88" i="33" s="1"/>
  <c r="I88" i="33"/>
  <c r="M88" i="33" s="1"/>
  <c r="N88" i="33" s="1"/>
  <c r="Q88" i="33"/>
  <c r="AF88" i="33"/>
  <c r="G88" i="33"/>
  <c r="R88" i="33"/>
  <c r="AK90" i="19"/>
  <c r="B89" i="33"/>
  <c r="AN90" i="19"/>
  <c r="AM90" i="19"/>
  <c r="AL90" i="19"/>
  <c r="AA88" i="1"/>
  <c r="AK91" i="19"/>
  <c r="B90" i="33"/>
  <c r="AM91" i="19"/>
  <c r="AN91" i="19"/>
  <c r="AL91" i="19"/>
  <c r="P88" i="33"/>
  <c r="AG86" i="33"/>
  <c r="AE89" i="32"/>
  <c r="AA87" i="1"/>
  <c r="AE90" i="32"/>
  <c r="D92" i="33"/>
  <c r="R92" i="32"/>
  <c r="Q93" i="32"/>
  <c r="AD93" i="25"/>
  <c r="Y94" i="19" s="1"/>
  <c r="AA94" i="19" s="1"/>
  <c r="AC94" i="19" s="1"/>
  <c r="AM96" i="7"/>
  <c r="X95" i="1" s="1"/>
  <c r="AB95" i="1" s="1"/>
  <c r="Z88" i="33" l="1"/>
  <c r="H95" i="33"/>
  <c r="AI96" i="7"/>
  <c r="AL96" i="7" s="1"/>
  <c r="S94" i="25"/>
  <c r="F95" i="19"/>
  <c r="G95" i="19"/>
  <c r="AH95" i="19" s="1"/>
  <c r="AD91" i="32" s="1"/>
  <c r="AF95" i="7"/>
  <c r="R94" i="25"/>
  <c r="H94" i="32" s="1"/>
  <c r="H94" i="33"/>
  <c r="AI95" i="7"/>
  <c r="AM95" i="7"/>
  <c r="X94" i="1" s="1"/>
  <c r="AB94" i="1" s="1"/>
  <c r="U95" i="19"/>
  <c r="AF95" i="19" s="1"/>
  <c r="I94" i="32"/>
  <c r="Z97" i="7"/>
  <c r="Q97" i="19"/>
  <c r="X97" i="7"/>
  <c r="O97" i="7" s="1"/>
  <c r="Y97" i="7"/>
  <c r="AE97" i="7"/>
  <c r="Q96" i="19"/>
  <c r="Z96" i="7"/>
  <c r="AE96" i="7"/>
  <c r="Z90" i="1"/>
  <c r="AT91" i="19"/>
  <c r="E90" i="33"/>
  <c r="P90" i="33" s="1"/>
  <c r="AT90" i="19"/>
  <c r="Z89" i="1"/>
  <c r="E89" i="33"/>
  <c r="P89" i="33" s="1"/>
  <c r="AG88" i="33"/>
  <c r="R93" i="32"/>
  <c r="D93" i="33"/>
  <c r="Y93" i="1"/>
  <c r="AK96" i="7"/>
  <c r="AN96" i="7" s="1"/>
  <c r="B95" i="32" s="1"/>
  <c r="C95" i="32" s="1"/>
  <c r="G94" i="32" l="1"/>
  <c r="U97" i="19"/>
  <c r="AF97" i="19" s="1"/>
  <c r="I96" i="32"/>
  <c r="AF96" i="7"/>
  <c r="S95" i="25"/>
  <c r="R95" i="25"/>
  <c r="H95" i="32" s="1"/>
  <c r="G96" i="19"/>
  <c r="AH96" i="19" s="1"/>
  <c r="F96" i="19"/>
  <c r="F100" i="19" s="1"/>
  <c r="I95" i="32"/>
  <c r="U96" i="19"/>
  <c r="AF96" i="19" s="1"/>
  <c r="S96" i="25"/>
  <c r="G97" i="19"/>
  <c r="AH97" i="19" s="1"/>
  <c r="R96" i="25"/>
  <c r="H96" i="32" s="1"/>
  <c r="AF97" i="7"/>
  <c r="AM97" i="7"/>
  <c r="AI97" i="7"/>
  <c r="AL95" i="7"/>
  <c r="AK95" i="7"/>
  <c r="AN95" i="7" s="1"/>
  <c r="B94" i="32" s="1"/>
  <c r="C94" i="32" s="1"/>
  <c r="AJ92" i="19"/>
  <c r="AD91" i="33"/>
  <c r="U94" i="25"/>
  <c r="AD94" i="25" s="1"/>
  <c r="Y95" i="19" s="1"/>
  <c r="AA95" i="19" s="1"/>
  <c r="AC95" i="19" s="1"/>
  <c r="AJ95" i="19" s="1"/>
  <c r="AA89" i="1"/>
  <c r="AF89" i="33"/>
  <c r="T89" i="33"/>
  <c r="U89" i="33" s="1"/>
  <c r="AA89" i="33" s="1"/>
  <c r="G89" i="33"/>
  <c r="R89" i="33"/>
  <c r="AE89" i="33"/>
  <c r="I89" i="33"/>
  <c r="M89" i="33" s="1"/>
  <c r="N89" i="33" s="1"/>
  <c r="Q89" i="33"/>
  <c r="AF90" i="33"/>
  <c r="G90" i="33"/>
  <c r="R90" i="33"/>
  <c r="AE90" i="33"/>
  <c r="T90" i="33"/>
  <c r="U90" i="33" s="1"/>
  <c r="AA90" i="33" s="1"/>
  <c r="I90" i="33"/>
  <c r="M90" i="33" s="1"/>
  <c r="N90" i="33" s="1"/>
  <c r="Q90" i="33"/>
  <c r="AA90" i="1"/>
  <c r="AG89" i="33" l="1"/>
  <c r="Z90" i="33"/>
  <c r="Z89" i="33"/>
  <c r="AK95" i="19"/>
  <c r="V95" i="32"/>
  <c r="AD95" i="33" s="1"/>
  <c r="Q95" i="32"/>
  <c r="R95" i="32" s="1"/>
  <c r="AE91" i="32"/>
  <c r="AK92" i="19"/>
  <c r="AL92" i="19"/>
  <c r="AN92" i="19"/>
  <c r="B91" i="33"/>
  <c r="E91" i="33" s="1"/>
  <c r="P91" i="33" s="1"/>
  <c r="AM92" i="19"/>
  <c r="U96" i="25"/>
  <c r="AD96" i="25" s="1"/>
  <c r="Y97" i="19" s="1"/>
  <c r="AA97" i="19" s="1"/>
  <c r="AC97" i="19" s="1"/>
  <c r="AJ97" i="19" s="1"/>
  <c r="G95" i="32"/>
  <c r="U95" i="25"/>
  <c r="AD95" i="25" s="1"/>
  <c r="Y96" i="19" s="1"/>
  <c r="AA96" i="19" s="1"/>
  <c r="AC96" i="19" s="1"/>
  <c r="AJ96" i="19" s="1"/>
  <c r="AL97" i="7"/>
  <c r="AK97" i="7"/>
  <c r="AN97" i="7" s="1"/>
  <c r="B96" i="32" s="1"/>
  <c r="C96" i="32" s="1"/>
  <c r="AD92" i="32"/>
  <c r="AD93" i="32"/>
  <c r="G96" i="32"/>
  <c r="AG90" i="33"/>
  <c r="B94" i="33"/>
  <c r="AL95" i="19"/>
  <c r="AN95" i="19"/>
  <c r="AM95" i="19"/>
  <c r="Y95" i="1" l="1"/>
  <c r="D95" i="33"/>
  <c r="AK96" i="19"/>
  <c r="V94" i="32"/>
  <c r="AD94" i="33" s="1"/>
  <c r="Q94" i="32"/>
  <c r="Q91" i="33"/>
  <c r="AF91" i="33"/>
  <c r="I91" i="33"/>
  <c r="M91" i="33" s="1"/>
  <c r="N91" i="33" s="1"/>
  <c r="AE91" i="33"/>
  <c r="T91" i="33"/>
  <c r="U91" i="33" s="1"/>
  <c r="AA91" i="33" s="1"/>
  <c r="R91" i="33"/>
  <c r="G91" i="33"/>
  <c r="AN97" i="19"/>
  <c r="AT97" i="19" s="1"/>
  <c r="B96" i="33"/>
  <c r="AL97" i="19"/>
  <c r="AM97" i="19"/>
  <c r="AJ93" i="19"/>
  <c r="AD92" i="33"/>
  <c r="AE92" i="32"/>
  <c r="V96" i="32"/>
  <c r="AD96" i="33" s="1"/>
  <c r="Q96" i="32"/>
  <c r="AT92" i="19"/>
  <c r="Z91" i="1"/>
  <c r="AJ94" i="19"/>
  <c r="AD93" i="33"/>
  <c r="AK97" i="19"/>
  <c r="AG91" i="33"/>
  <c r="Z94" i="1"/>
  <c r="AT95" i="19"/>
  <c r="B95" i="33"/>
  <c r="E95" i="33" s="1"/>
  <c r="AM96" i="19"/>
  <c r="AN96" i="19"/>
  <c r="AL96" i="19"/>
  <c r="Y94" i="1" l="1"/>
  <c r="AA94" i="1" s="1"/>
  <c r="R94" i="32"/>
  <c r="D94" i="33"/>
  <c r="E94" i="33" s="1"/>
  <c r="AE94" i="33" s="1"/>
  <c r="Z91" i="33"/>
  <c r="AA91" i="1"/>
  <c r="R96" i="32"/>
  <c r="D96" i="33"/>
  <c r="E96" i="33" s="1"/>
  <c r="AK93" i="19"/>
  <c r="AM93" i="19"/>
  <c r="AN93" i="19"/>
  <c r="AL93" i="19"/>
  <c r="B92" i="33"/>
  <c r="E92" i="33" s="1"/>
  <c r="AK94" i="19"/>
  <c r="AN94" i="19"/>
  <c r="B93" i="33"/>
  <c r="AL94" i="19"/>
  <c r="AM94" i="19"/>
  <c r="AE93" i="32"/>
  <c r="P95" i="33"/>
  <c r="AF95" i="33"/>
  <c r="AE95" i="33"/>
  <c r="Q95" i="33"/>
  <c r="G95" i="33"/>
  <c r="Z95" i="1"/>
  <c r="AT96" i="19"/>
  <c r="R95" i="33"/>
  <c r="I95" i="33"/>
  <c r="M95" i="33" s="1"/>
  <c r="N95" i="33" s="1"/>
  <c r="T95" i="33"/>
  <c r="U95" i="33" s="1"/>
  <c r="AA95" i="33" s="1"/>
  <c r="AF94" i="33" l="1"/>
  <c r="Q94" i="33"/>
  <c r="P94" i="33"/>
  <c r="R94" i="33"/>
  <c r="T94" i="33"/>
  <c r="U94" i="33" s="1"/>
  <c r="AA94" i="33" s="1"/>
  <c r="G94" i="33"/>
  <c r="I94" i="33"/>
  <c r="M94" i="33" s="1"/>
  <c r="Z95" i="33"/>
  <c r="AT94" i="19"/>
  <c r="Z93" i="1"/>
  <c r="P92" i="33"/>
  <c r="R92" i="33"/>
  <c r="I92" i="33"/>
  <c r="M92" i="33" s="1"/>
  <c r="N92" i="33" s="1"/>
  <c r="AF92" i="33"/>
  <c r="T92" i="33"/>
  <c r="U92" i="33" s="1"/>
  <c r="AA92" i="33" s="1"/>
  <c r="G92" i="33"/>
  <c r="Q92" i="33"/>
  <c r="AE92" i="33"/>
  <c r="AG92" i="33" s="1"/>
  <c r="Z92" i="1"/>
  <c r="AT93" i="19"/>
  <c r="E93" i="33"/>
  <c r="P93" i="33" s="1"/>
  <c r="AF96" i="33"/>
  <c r="AE96" i="33"/>
  <c r="AG94" i="33"/>
  <c r="AG95" i="33"/>
  <c r="AA95" i="1"/>
  <c r="Z94" i="33" l="1"/>
  <c r="N94" i="33"/>
  <c r="Z92" i="33"/>
  <c r="AG96" i="33"/>
  <c r="AA93" i="1"/>
  <c r="AF93" i="33"/>
  <c r="Q93" i="33"/>
  <c r="G93" i="33"/>
  <c r="I93" i="33"/>
  <c r="M93" i="33" s="1"/>
  <c r="N93" i="33" s="1"/>
  <c r="R93" i="33"/>
  <c r="T93" i="33"/>
  <c r="U93" i="33" s="1"/>
  <c r="AA93" i="33" s="1"/>
  <c r="AE93" i="33"/>
  <c r="AA92" i="1"/>
  <c r="Z93" i="33" l="1"/>
  <c r="AG93" i="33"/>
</calcChain>
</file>

<file path=xl/comments1.xml><?xml version="1.0" encoding="utf-8"?>
<comments xmlns="http://schemas.openxmlformats.org/spreadsheetml/2006/main">
  <authors>
    <author>Information Technology</author>
  </authors>
  <commentList>
    <comment ref="A132" authorId="0">
      <text>
        <r>
          <rPr>
            <b/>
            <sz val="8"/>
            <color indexed="81"/>
            <rFont val="Tahoma"/>
          </rPr>
          <t>Information Technology:</t>
        </r>
        <r>
          <rPr>
            <sz val="8"/>
            <color indexed="81"/>
            <rFont val="Tahoma"/>
          </rPr>
          <t xml:space="preserve">
'n Gemiddelde van die vorige twee jaar is geneem vir die gem tyd van besoek</t>
        </r>
      </text>
    </comment>
  </commentList>
</comments>
</file>

<file path=xl/sharedStrings.xml><?xml version="1.0" encoding="utf-8"?>
<sst xmlns="http://schemas.openxmlformats.org/spreadsheetml/2006/main" count="582" uniqueCount="375">
  <si>
    <t>Year</t>
  </si>
  <si>
    <t>Wissel transfers from the Cape to the Netherlands, in guilders</t>
  </si>
  <si>
    <t>"Light" money, implying that 1 Rijksdaalder was not equivalent to 2.4, but to 3 guilders, or, in other words, that 1 guilder was not equibalent to 20, but rather 16 stuivers. The figures are rounded off.</t>
  </si>
  <si>
    <t>Gross receipts from VOC sales in Cape Town, according to the Rendementen, in guilders</t>
  </si>
  <si>
    <t>Dutch</t>
  </si>
  <si>
    <t>Indiase</t>
  </si>
  <si>
    <t>Bengal</t>
  </si>
  <si>
    <t>Coast</t>
  </si>
  <si>
    <t>Surat</t>
  </si>
  <si>
    <t>Ceylon</t>
  </si>
  <si>
    <t>Tutucorin</t>
  </si>
  <si>
    <t>Batavia bought</t>
  </si>
  <si>
    <t>Java</t>
  </si>
  <si>
    <t>Ambon/Banda</t>
  </si>
  <si>
    <t>China</t>
  </si>
  <si>
    <t>Total</t>
  </si>
  <si>
    <t>Indiase refers to goods exported trhough Batavia</t>
  </si>
  <si>
    <t>Coast refers to the Coromandel Coast</t>
  </si>
  <si>
    <t>In these two years the VOC sold Cape wheat, to a value of f46274 (profit f2722) in 1759-60 and f28560 (profit f1680) in 1760-61</t>
  </si>
  <si>
    <t>The year given is that in which the accounting year, which ran from 1 September to 31 August ended. The totals are calculated.</t>
  </si>
  <si>
    <t>Beef</t>
  </si>
  <si>
    <t>Mutton</t>
  </si>
  <si>
    <t>Company Establishment (1701 - 1793)</t>
  </si>
  <si>
    <t>N.A.</t>
  </si>
  <si>
    <t>Population, total Cape Colony (1701 - 1795),</t>
  </si>
  <si>
    <t>men</t>
  </si>
  <si>
    <t>women</t>
  </si>
  <si>
    <t>boys</t>
  </si>
  <si>
    <t>girls</t>
  </si>
  <si>
    <t>Changed from 7102 (error Cape district).</t>
  </si>
  <si>
    <t>Changed from 6694 (error in both Cape district and total).</t>
  </si>
  <si>
    <t>Includes juveniles.</t>
  </si>
  <si>
    <t>Exports on behalf of the VOC:  money value in guilders (1749 - 1793)</t>
  </si>
  <si>
    <t>total</t>
  </si>
  <si>
    <t>grains &amp;</t>
  </si>
  <si>
    <t>wines</t>
  </si>
  <si>
    <t>stock</t>
  </si>
  <si>
    <t>other</t>
  </si>
  <si>
    <t>pulses</t>
  </si>
  <si>
    <t>products</t>
  </si>
  <si>
    <t>NIL</t>
  </si>
  <si>
    <t>N.B.  The prices and money value of the various products are only</t>
  </si>
  <si>
    <t>known fro the period 1754 - 1783.  The figures for 1749 - 53 and</t>
  </si>
  <si>
    <t>1784 - 93 were calculated on the basis of the prices for 1753 - 4</t>
  </si>
  <si>
    <t>and the early 1780s respectively, and are thus not completely</t>
  </si>
  <si>
    <t>accurate.  Also, rounding off can lead to small discrepancies.</t>
  </si>
  <si>
    <t>Butter, tallow, fat, meat and bacon.</t>
  </si>
  <si>
    <t>Prices and money value of ivory exported are unknown.</t>
  </si>
  <si>
    <t>Amount</t>
  </si>
  <si>
    <t>Exports of wines, in amen (1748 - 1793)</t>
  </si>
  <si>
    <t>Exports of butter, in ponden (1754 - 1793)</t>
  </si>
  <si>
    <t>vines</t>
  </si>
  <si>
    <t>leggers</t>
  </si>
  <si>
    <t>wheat (mudden)</t>
  </si>
  <si>
    <t>barley (mudden)</t>
  </si>
  <si>
    <t>rye (mudden)</t>
  </si>
  <si>
    <t>wine</t>
  </si>
  <si>
    <t>sown</t>
  </si>
  <si>
    <t>reaped</t>
  </si>
  <si>
    <t>The figures for barley and rye are not available after 1777, but</t>
  </si>
  <si>
    <t>they can be calculated on the basis of the district figures.  Except for</t>
  </si>
  <si>
    <t>the years immediately after the harvest failute of 1786, when efforts</t>
  </si>
  <si>
    <t>were made, primarily in the Cape district, to make up for the prevailing</t>
  </si>
  <si>
    <t>scarcity of grain, a declining trend can be observed in the production of</t>
  </si>
  <si>
    <t>these crops during the latter part of the century.  It is not likely that</t>
  </si>
  <si>
    <t>this is the result of greater evasion than in the case of wheat.</t>
  </si>
  <si>
    <t>Changed from 5819600 (error Cape district).</t>
  </si>
  <si>
    <t>Changed from 1732.5 (error in total).</t>
  </si>
  <si>
    <t>Changed from 1837 (error Cape district).</t>
  </si>
  <si>
    <t>Another 5756 mud "bread and seed corn" is mentioned in the opgaaf, so</t>
  </si>
  <si>
    <t>that in total 13120 mud was reaped.</t>
  </si>
  <si>
    <t>11701 mud "bread and seed corn" reaped, so the total was 31965 mud.</t>
  </si>
  <si>
    <t>9058 mud "bread and seed corn" reaped, so the total was 20526 mud.</t>
  </si>
  <si>
    <t>7448 mud "bread and seed corn" reaped, so the total was 20514 mud.</t>
  </si>
  <si>
    <t>5700 mud "bread and seed corn" reaped, so the total was 14881 mud.</t>
  </si>
  <si>
    <t>Changed from 2773 (error in total).</t>
  </si>
  <si>
    <t>Changed from 9864 (error in total).</t>
  </si>
  <si>
    <t>Changed from 32936 (see chapter III, footnote 6).</t>
  </si>
  <si>
    <t>Consumption of wheat, in mudden(1704 - 1793; five-year averages)</t>
  </si>
  <si>
    <t>Period</t>
  </si>
  <si>
    <t>internal</t>
  </si>
  <si>
    <t>passing</t>
  </si>
  <si>
    <t>exports</t>
  </si>
  <si>
    <t>market</t>
  </si>
  <si>
    <t>ships</t>
  </si>
  <si>
    <t>1704-08</t>
  </si>
  <si>
    <t>1709-13</t>
  </si>
  <si>
    <t>1714-18</t>
  </si>
  <si>
    <t>1719-23</t>
  </si>
  <si>
    <t>1724-28</t>
  </si>
  <si>
    <t>1729-33</t>
  </si>
  <si>
    <t>1734-38</t>
  </si>
  <si>
    <t>1739-43</t>
  </si>
  <si>
    <t>1744-48</t>
  </si>
  <si>
    <t>1749-53</t>
  </si>
  <si>
    <t>1754-58</t>
  </si>
  <si>
    <t>1759-63</t>
  </si>
  <si>
    <t>1764-68</t>
  </si>
  <si>
    <t>1769-73</t>
  </si>
  <si>
    <t>1774-78</t>
  </si>
  <si>
    <t>1779-83</t>
  </si>
  <si>
    <t>1784-88</t>
  </si>
  <si>
    <t>1789-93</t>
  </si>
  <si>
    <t>Based on the assumptions regarding the population of Cape Town</t>
  </si>
  <si>
    <t>(see Appendix 3; here not rouded off) and on the consumption</t>
  </si>
  <si>
    <t>figure of 2.5 mud per person per year.</t>
  </si>
  <si>
    <t>Based on the consumption figure of 40 mud per ship.</t>
  </si>
  <si>
    <t>This includes all grains, but wheat was by far the most</t>
  </si>
  <si>
    <t>important of these.</t>
  </si>
  <si>
    <t>Production of wheat, corrected opgaaf figures, in mudden (1709 - 1793; five-year averages)</t>
  </si>
  <si>
    <t>correction</t>
  </si>
  <si>
    <t>total Cape Colony</t>
  </si>
  <si>
    <t>coefficient</t>
  </si>
  <si>
    <t>3.0</t>
  </si>
  <si>
    <t>Cape district</t>
  </si>
  <si>
    <t>Stellenbosch</t>
  </si>
  <si>
    <t>Drakenstein</t>
  </si>
  <si>
    <t>1784-87</t>
  </si>
  <si>
    <t>Stellenbosch and Drakenstein</t>
  </si>
  <si>
    <t>N.B. These figures of quantities of wheat sown and reaped should</t>
  </si>
  <si>
    <t xml:space="preserve">not be taken at face value, but rather as a rough approximation </t>
  </si>
  <si>
    <t>of the contours of real production and investment levels.</t>
  </si>
  <si>
    <t>Nevertheless, Graphs III.4 are based on these figures.</t>
  </si>
  <si>
    <t>Yield ratios in wheat production (1704 - 1793; five-year averages)</t>
  </si>
  <si>
    <t>Cape</t>
  </si>
  <si>
    <t>Stellen-</t>
  </si>
  <si>
    <t>Draken-</t>
  </si>
  <si>
    <t>colony</t>
  </si>
  <si>
    <t>district</t>
  </si>
  <si>
    <t>bosch</t>
  </si>
  <si>
    <t>stein</t>
  </si>
  <si>
    <t>10.00</t>
  </si>
  <si>
    <t>11.30</t>
  </si>
  <si>
    <t>9.90</t>
  </si>
  <si>
    <t>8.60</t>
  </si>
  <si>
    <t>N.B. These figures include the "bread end seed corn", which is</t>
  </si>
  <si>
    <t>assumed to be a constant of four times the quantity sown.</t>
  </si>
  <si>
    <t>Taxation on wine (recognitiegeld) and quantities of wine brought to market (1724 - 1785)</t>
  </si>
  <si>
    <t>wine tax</t>
  </si>
  <si>
    <t>(guilders)</t>
  </si>
  <si>
    <t>N.B. The figures for the wine tax are rounded off.</t>
  </si>
  <si>
    <t>In this year (i.e. 1 September 1782 to 31 August 1793) 430</t>
  </si>
  <si>
    <t>leggers were also sold to the French garrison.</t>
  </si>
  <si>
    <t xml:space="preserve"> VOC income from the auction of the franchises to sell alcoholic beverages (pachten), in guilders (1700 - 1793).</t>
  </si>
  <si>
    <t>brandy</t>
  </si>
  <si>
    <t>sales to</t>
  </si>
  <si>
    <t>pacht</t>
  </si>
  <si>
    <t>foreighners</t>
  </si>
  <si>
    <t>N.B. As a rule the total exceeds the sum of the three pachten</t>
  </si>
  <si>
    <t>given, as the minor franchises are not included in the table.  The</t>
  </si>
  <si>
    <t>figures are rounded off.</t>
  </si>
  <si>
    <t>1734 was the first year in shich the wine pacht was not</t>
  </si>
  <si>
    <t>auctioned in four separate parts but as a single unit.</t>
  </si>
  <si>
    <t>In 1758, the wine pacht was originally bought up by four men</t>
  </si>
  <si>
    <t>for £18375, but was later bought in as a single unit by Pieter</t>
  </si>
  <si>
    <t>Broedersz., who had to pay £4500 extra for the privilege.</t>
  </si>
  <si>
    <t>In 1793, the wine pacht was again taken up in four separate</t>
  </si>
  <si>
    <t>parts.</t>
  </si>
  <si>
    <t>Livestock in possession of the colonial farmers, total Cape Colony (1701 - 1795)</t>
  </si>
  <si>
    <t>horses</t>
  </si>
  <si>
    <t>cattle</t>
  </si>
  <si>
    <t>sheep</t>
  </si>
  <si>
    <t>pigs</t>
  </si>
  <si>
    <t>NA</t>
  </si>
  <si>
    <t>Changed from 184680 (error Cape district).</t>
  </si>
  <si>
    <t>Changed from 30923 (assumed to be an error).</t>
  </si>
  <si>
    <t>Changed from 151812 (error Drakenstein).</t>
  </si>
  <si>
    <t>Slaves</t>
  </si>
  <si>
    <t>Europeans</t>
  </si>
  <si>
    <t>Total adult</t>
  </si>
  <si>
    <t>Exports of grains, overwhelmingly wheat, in mudden</t>
  </si>
  <si>
    <t>Livestock in possession of the colonial farmers</t>
  </si>
  <si>
    <t>Cattle</t>
  </si>
  <si>
    <t>Sheep</t>
  </si>
  <si>
    <t>Meat supplied as % of livestock</t>
  </si>
  <si>
    <t>Data inferred</t>
  </si>
  <si>
    <t>Prices</t>
  </si>
  <si>
    <t>europeans</t>
  </si>
  <si>
    <t>slaves</t>
  </si>
  <si>
    <t>share</t>
  </si>
  <si>
    <t>adults</t>
  </si>
  <si>
    <t>adult</t>
  </si>
  <si>
    <t>demand for wheat</t>
  </si>
  <si>
    <t>2,5 mud per adult</t>
  </si>
  <si>
    <t>1,25 mud per child</t>
  </si>
  <si>
    <t>passing ships</t>
  </si>
  <si>
    <t>* 40 mud</t>
  </si>
  <si>
    <t>net output</t>
  </si>
  <si>
    <t>wheat and ryea and barley</t>
  </si>
  <si>
    <t>estimated slaughter</t>
  </si>
  <si>
    <t>cattle: 360 pound</t>
  </si>
  <si>
    <t>Sheep: 40 pound</t>
  </si>
  <si>
    <t>VOC employees</t>
  </si>
  <si>
    <t>dependents</t>
  </si>
  <si>
    <t>knechten</t>
  </si>
  <si>
    <t>KHOISAN (based on their presence in court records)</t>
  </si>
  <si>
    <t>including Khoisan</t>
  </si>
  <si>
    <t>correction factor</t>
  </si>
  <si>
    <t>Van Duin and Ross</t>
  </si>
  <si>
    <t>corrected net output</t>
  </si>
  <si>
    <t>total demand</t>
  </si>
  <si>
    <t>total output</t>
  </si>
  <si>
    <t>population of cape town</t>
  </si>
  <si>
    <t>Van Duin &amp; Ross</t>
  </si>
  <si>
    <t>estimated total output marketed 1780 and 1790</t>
  </si>
  <si>
    <t>consumption outside cape town</t>
  </si>
  <si>
    <t>300 pound pc</t>
  </si>
  <si>
    <t>ships * 17000 pounds</t>
  </si>
  <si>
    <t>total marketed</t>
  </si>
  <si>
    <t>share sheep</t>
  </si>
  <si>
    <t>share sheep 80%</t>
  </si>
  <si>
    <t>consumption cape town</t>
  </si>
  <si>
    <t>wisseltransfers</t>
  </si>
  <si>
    <t>other transfers</t>
  </si>
  <si>
    <t>employment</t>
  </si>
  <si>
    <t>Total income servants VOC</t>
  </si>
  <si>
    <t>salary per employee</t>
  </si>
  <si>
    <t>correctioncattle</t>
  </si>
  <si>
    <t>correctionsheep</t>
  </si>
  <si>
    <t>production based on uncorrected livestock</t>
  </si>
  <si>
    <t>corrected cattle</t>
  </si>
  <si>
    <t>corrected sheep</t>
  </si>
  <si>
    <t>correction factors</t>
  </si>
  <si>
    <t>production based on corrected livestock</t>
  </si>
  <si>
    <t>Income in kind</t>
  </si>
  <si>
    <t>slaves VOC</t>
  </si>
  <si>
    <t>per employeen and slave</t>
  </si>
  <si>
    <t>exports grains</t>
  </si>
  <si>
    <t>guestimated at double the grains before 1748</t>
  </si>
  <si>
    <t>costs of subsistence (Pim de Zwart) in grammes of silver</t>
  </si>
  <si>
    <t>legger</t>
  </si>
  <si>
    <t>exports wine</t>
  </si>
  <si>
    <t>domestic consumption</t>
  </si>
  <si>
    <t>production including home consumption</t>
  </si>
  <si>
    <t>0,3 leggers per head</t>
  </si>
  <si>
    <t>consumption of wine</t>
  </si>
  <si>
    <t>Jaar</t>
  </si>
  <si>
    <t>Ship days - Dutch</t>
  </si>
  <si>
    <t>Number of Non-Dutch ships</t>
  </si>
  <si>
    <t>Average days for Dutch ships</t>
  </si>
  <si>
    <t>Total days non-Dutch ships</t>
  </si>
  <si>
    <t>Ship days - all nationalities</t>
  </si>
  <si>
    <t>sailors</t>
  </si>
  <si>
    <t>in menyears</t>
  </si>
  <si>
    <t>best estimate of meat production</t>
  </si>
  <si>
    <t>Cattle duiten per pound</t>
  </si>
  <si>
    <t>Sheep stuiers per sheep</t>
  </si>
  <si>
    <t>fl per pound</t>
  </si>
  <si>
    <t>estimated meat production</t>
  </si>
  <si>
    <t>1000 pound</t>
  </si>
  <si>
    <t>average price</t>
  </si>
  <si>
    <t>fl 1000</t>
  </si>
  <si>
    <t>value output meat</t>
  </si>
  <si>
    <t>guilder per mud</t>
  </si>
  <si>
    <t>wheat</t>
  </si>
  <si>
    <t>price of wheat per mud</t>
  </si>
  <si>
    <t>value output wheat etc</t>
  </si>
  <si>
    <t>producer price legger of wine</t>
  </si>
  <si>
    <t>value output wine</t>
  </si>
  <si>
    <t xml:space="preserve">total gross output </t>
  </si>
  <si>
    <t>meat</t>
  </si>
  <si>
    <t>income</t>
  </si>
  <si>
    <t>price index</t>
  </si>
  <si>
    <t>index price of wheat</t>
  </si>
  <si>
    <t>real income</t>
  </si>
  <si>
    <t>per 59,6% share of population plus all khoisan</t>
  </si>
  <si>
    <t>profit income VOC: 10% of sales in colony and 10% of value exports</t>
  </si>
  <si>
    <t>share agriculture</t>
  </si>
  <si>
    <t>VOC employees and dependents</t>
  </si>
  <si>
    <t>59,7% of total including Khoisan</t>
  </si>
  <si>
    <t>rest</t>
  </si>
  <si>
    <t>agriculture</t>
  </si>
  <si>
    <t>percentages</t>
  </si>
  <si>
    <t>VOC</t>
  </si>
  <si>
    <t>share of population involved</t>
  </si>
  <si>
    <t>bakers and butchers</t>
  </si>
  <si>
    <t>butchers</t>
  </si>
  <si>
    <t>assumed 10% of value consumption</t>
  </si>
  <si>
    <t>bakers</t>
  </si>
  <si>
    <t>innkeepers</t>
  </si>
  <si>
    <t>merchants</t>
  </si>
  <si>
    <t>margin on wine innkepers and traders</t>
  </si>
  <si>
    <t>rest trade</t>
  </si>
  <si>
    <t>margin on slaves</t>
  </si>
  <si>
    <t>price margin</t>
  </si>
  <si>
    <t>margins on imports</t>
  </si>
  <si>
    <t>total rest economy</t>
  </si>
  <si>
    <t>slaves imported</t>
  </si>
  <si>
    <t>per capita</t>
  </si>
  <si>
    <t>CPI</t>
  </si>
  <si>
    <t>1701=100</t>
  </si>
  <si>
    <t>prices slaves</t>
  </si>
  <si>
    <t>per head excluding Khoisan</t>
  </si>
  <si>
    <t>idem, real terms</t>
  </si>
  <si>
    <t>per head excluding slaves (subsistence substracted)</t>
  </si>
  <si>
    <t>prices capetown/amsterdam</t>
  </si>
  <si>
    <t>GDP pc in Holland</t>
  </si>
  <si>
    <t>in dollar 1990</t>
  </si>
  <si>
    <t>Cape colony</t>
  </si>
  <si>
    <t>total dollaers 1990</t>
  </si>
  <si>
    <t>white population dollars 1990</t>
  </si>
  <si>
    <t>constant prices 1701=100</t>
  </si>
  <si>
    <t>total population</t>
  </si>
  <si>
    <t>ships passing</t>
  </si>
  <si>
    <t>rest economy</t>
  </si>
  <si>
    <t>weighted price index</t>
  </si>
  <si>
    <t>value butter</t>
  </si>
  <si>
    <t>twice value exports</t>
  </si>
  <si>
    <t>butter and meat</t>
  </si>
  <si>
    <t>investment</t>
  </si>
  <si>
    <t>land (guilder)</t>
  </si>
  <si>
    <t>investment vines (guilders)</t>
  </si>
  <si>
    <t>investment cattle,sheep,horses</t>
  </si>
  <si>
    <t>total investment agriculture</t>
  </si>
  <si>
    <t>gross investment</t>
  </si>
  <si>
    <t>investment ratio</t>
  </si>
  <si>
    <t>of which cattle, land and vines</t>
  </si>
  <si>
    <t>fixed assets</t>
  </si>
  <si>
    <t>corr horse</t>
  </si>
  <si>
    <t>share men in slave population</t>
  </si>
  <si>
    <t>idem 'balanced population'</t>
  </si>
  <si>
    <t>per balanced capita</t>
  </si>
  <si>
    <t>Total income servants and slaves in fl</t>
  </si>
  <si>
    <t>The category Nominal in the table refers to the sum which was nominally paid out in wages at the Cape, calculated as twelve times the monthly salary bill recorded in the monster rolls; the category Actual to that recorded in the account books as having actually been paid. The category Transfer, the difference between them, refers to what must have been disbursed in the Netherlands. The figures are rounded off.</t>
  </si>
  <si>
    <t>Actual*(see below)</t>
  </si>
  <si>
    <t>Nominal*</t>
  </si>
  <si>
    <t>Transfer*</t>
  </si>
  <si>
    <t>fl</t>
  </si>
  <si>
    <t>gr</t>
  </si>
  <si>
    <t>All values in guilders, except column G (grammes ofsilver) and M-Q (numbers)</t>
  </si>
  <si>
    <t>1000 fl</t>
  </si>
  <si>
    <t>per capita (actual VOC population)</t>
  </si>
  <si>
    <t>per capita in prices of1701</t>
  </si>
  <si>
    <t>averages</t>
  </si>
  <si>
    <t>average</t>
  </si>
  <si>
    <t>Number of employees</t>
  </si>
  <si>
    <t>Free persons including Free Blacks, knechten, slaves</t>
  </si>
  <si>
    <t>estimated</t>
  </si>
  <si>
    <t>balanced' population</t>
  </si>
  <si>
    <t>estimated share van duin and ross</t>
  </si>
  <si>
    <t>Urbanization</t>
  </si>
  <si>
    <t>Slaves (Shell)</t>
  </si>
  <si>
    <t>prices Pim de Zwart</t>
  </si>
  <si>
    <t>quantities: mud</t>
  </si>
  <si>
    <t>estimated price</t>
  </si>
  <si>
    <t>Agricultural production, total Cape Colony (1701 - 1795) in fl</t>
  </si>
  <si>
    <t>output</t>
  </si>
  <si>
    <t>leggers wine</t>
  </si>
  <si>
    <t>consumption pc</t>
  </si>
  <si>
    <t>(cape town and saillors)</t>
  </si>
  <si>
    <t>total grains</t>
  </si>
  <si>
    <t>MEAT</t>
  </si>
  <si>
    <t>GRAINS</t>
  </si>
  <si>
    <t>WINE</t>
  </si>
  <si>
    <t>TOTAL</t>
  </si>
  <si>
    <t>Total per agr. Worker</t>
  </si>
  <si>
    <t>Price indices 1732=100</t>
  </si>
  <si>
    <t>estimated weight in pounds</t>
  </si>
  <si>
    <t>total consumption</t>
  </si>
  <si>
    <t>increase population Cape Town</t>
  </si>
  <si>
    <t>Rest economy: services excl VOC and secundary activities</t>
  </si>
  <si>
    <t>labour force</t>
  </si>
  <si>
    <t>earnings craftsmen</t>
  </si>
  <si>
    <t>per worker</t>
  </si>
  <si>
    <t>CP! 1701=100</t>
  </si>
  <si>
    <t>proces 1701=100</t>
  </si>
  <si>
    <t>GDP per capita fl</t>
  </si>
  <si>
    <t>UK dollars 1990</t>
  </si>
  <si>
    <t>quantity marketed</t>
  </si>
  <si>
    <t>(leggers)</t>
  </si>
  <si>
    <t>Meat supplied to the Company, in pounds</t>
  </si>
  <si>
    <t>total income VOC</t>
  </si>
  <si>
    <t>Agriculture</t>
  </si>
  <si>
    <t>Rest</t>
  </si>
  <si>
    <t>Total gdp</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</si>
</sst>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0.000"/>
    <numFmt numFmtId="165" formatCode="0.0"/>
    <numFmt numFmtId="166" formatCode="0.00000"/>
  </numFmts>
  <fonts count="1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ont>
    <font>
      <sz val="8"/>
      <name val="Arial"/>
    </font>
    <font>
      <u/>
      <sz val="10"/>
      <name val="Arial"/>
    </font>
    <font>
      <sz val="10"/>
      <name val="Arial"/>
      <family val="2"/>
    </font>
    <font>
      <sz val="10"/>
      <color rgb="FFFF0000"/>
      <name val="Arial"/>
      <family val="2"/>
    </font>
    <font>
      <b/>
      <sz val="10"/>
      <name val="Arial"/>
      <family val="2"/>
    </font>
    <font>
      <b/>
      <sz val="8"/>
      <color indexed="81"/>
      <name val="Tahoma"/>
    </font>
    <font>
      <sz val="8"/>
      <color indexed="81"/>
      <name val="Tahoma"/>
    </font>
    <font>
      <sz val="11"/>
      <color rgb="FFFF0000"/>
      <name val="Calibri"/>
      <family val="2"/>
      <scheme val="minor"/>
    </font>
    <font>
      <sz val="11"/>
      <color theme="0"/>
      <name val="Calibri"/>
      <family val="2"/>
      <scheme val="minor"/>
    </font>
    <font>
      <sz val="12"/>
      <name val="Arial"/>
      <family val="2"/>
    </font>
    <font>
      <sz val="11"/>
      <name val="Calibri"/>
      <family val="2"/>
      <scheme val="minor"/>
    </font>
  </fonts>
  <fills count="19">
    <fill>
      <patternFill patternType="none"/>
    </fill>
    <fill>
      <patternFill patternType="gray125"/>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indexed="41"/>
        <bgColor indexed="64"/>
      </patternFill>
    </fill>
    <fill>
      <patternFill patternType="solid">
        <fgColor indexed="47"/>
        <bgColor indexed="64"/>
      </patternFill>
    </fill>
    <fill>
      <patternFill patternType="solid">
        <fgColor indexed="46"/>
        <bgColor indexed="64"/>
      </patternFill>
    </fill>
    <fill>
      <patternFill patternType="solid">
        <fgColor indexed="45"/>
        <bgColor indexed="64"/>
      </patternFill>
    </fill>
    <fill>
      <patternFill patternType="solid">
        <fgColor indexed="43"/>
        <bgColor indexed="64"/>
      </patternFill>
    </fill>
    <fill>
      <patternFill patternType="solid">
        <fgColor indexed="40"/>
        <bgColor indexed="64"/>
      </patternFill>
    </fill>
    <fill>
      <patternFill patternType="solid">
        <fgColor indexed="22"/>
        <bgColor indexed="64"/>
      </patternFill>
    </fill>
    <fill>
      <patternFill patternType="solid">
        <fgColor indexed="57"/>
        <bgColor indexed="64"/>
      </patternFill>
    </fill>
    <fill>
      <patternFill patternType="solid">
        <fgColor indexed="61"/>
        <bgColor indexed="64"/>
      </patternFill>
    </fill>
    <fill>
      <patternFill patternType="solid">
        <fgColor indexed="44"/>
        <bgColor indexed="64"/>
      </patternFill>
    </fill>
    <fill>
      <patternFill patternType="solid">
        <fgColor theme="9"/>
        <bgColor indexed="64"/>
      </patternFill>
    </fill>
    <fill>
      <patternFill patternType="solid">
        <fgColor rgb="FFFFFF00"/>
        <bgColor indexed="64"/>
      </patternFill>
    </fill>
    <fill>
      <patternFill patternType="solid">
        <fgColor theme="0"/>
        <bgColor indexed="64"/>
      </patternFill>
    </fill>
    <fill>
      <patternFill patternType="solid">
        <fgColor theme="8"/>
      </patternFill>
    </fill>
  </fills>
  <borders count="4">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3" fillId="0" borderId="0"/>
    <xf numFmtId="0" fontId="13" fillId="18" borderId="0" applyNumberFormat="0" applyBorder="0" applyAlignment="0" applyProtection="0"/>
    <xf numFmtId="0" fontId="14" fillId="0" borderId="0"/>
    <xf numFmtId="0" fontId="2" fillId="0" borderId="0"/>
    <xf numFmtId="0" fontId="4" fillId="0" borderId="0"/>
    <xf numFmtId="0" fontId="1" fillId="0" borderId="0"/>
    <xf numFmtId="43" fontId="4" fillId="0" borderId="0" applyFont="0" applyFill="0" applyBorder="0" applyAlignment="0" applyProtection="0"/>
  </cellStyleXfs>
  <cellXfs count="85">
    <xf numFmtId="0" fontId="0" fillId="0" borderId="0" xfId="0"/>
    <xf numFmtId="0" fontId="0" fillId="2" borderId="0" xfId="0" applyFill="1"/>
    <xf numFmtId="0" fontId="0" fillId="0" borderId="0" xfId="0" applyFill="1"/>
    <xf numFmtId="0" fontId="0" fillId="3" borderId="0" xfId="0" applyFill="1"/>
    <xf numFmtId="0" fontId="0" fillId="4" borderId="0" xfId="0" applyFill="1"/>
    <xf numFmtId="0" fontId="6" fillId="0" borderId="0" xfId="0" applyFont="1"/>
    <xf numFmtId="0" fontId="0" fillId="0" borderId="0" xfId="0" applyAlignment="1"/>
    <xf numFmtId="0" fontId="0" fillId="5" borderId="0" xfId="0" applyFill="1"/>
    <xf numFmtId="0" fontId="0" fillId="6" borderId="0" xfId="0" applyFill="1"/>
    <xf numFmtId="0" fontId="0" fillId="7" borderId="0" xfId="0" applyFill="1"/>
    <xf numFmtId="0" fontId="6" fillId="0" borderId="0" xfId="0" applyFont="1" applyAlignment="1">
      <alignment wrapText="1"/>
    </xf>
    <xf numFmtId="0" fontId="6" fillId="5" borderId="0" xfId="0" applyFont="1" applyFill="1" applyAlignment="1">
      <alignment wrapText="1"/>
    </xf>
    <xf numFmtId="0" fontId="6" fillId="6" borderId="0" xfId="0" applyFont="1" applyFill="1"/>
    <xf numFmtId="0" fontId="0" fillId="8" borderId="0" xfId="0" applyFill="1"/>
    <xf numFmtId="0" fontId="0" fillId="9" borderId="0" xfId="0" applyFill="1"/>
    <xf numFmtId="0" fontId="0" fillId="10" borderId="0" xfId="0" applyFill="1"/>
    <xf numFmtId="0" fontId="0" fillId="11" borderId="0" xfId="0" applyFill="1"/>
    <xf numFmtId="0" fontId="0" fillId="12" borderId="0" xfId="0" applyFill="1"/>
    <xf numFmtId="0" fontId="0" fillId="13" borderId="0" xfId="0" applyFill="1"/>
    <xf numFmtId="0" fontId="0" fillId="0" borderId="0" xfId="0" quotePrefix="1" applyAlignment="1">
      <alignment horizontal="center"/>
    </xf>
    <xf numFmtId="0" fontId="6" fillId="5" borderId="0" xfId="0" applyFont="1" applyFill="1"/>
    <xf numFmtId="0" fontId="6" fillId="7" borderId="0" xfId="0" applyFont="1" applyFill="1"/>
    <xf numFmtId="0" fontId="0" fillId="0" borderId="0" xfId="0" quotePrefix="1" applyAlignment="1">
      <alignment horizontal="right"/>
    </xf>
    <xf numFmtId="0" fontId="0" fillId="14" borderId="0" xfId="0" applyFill="1"/>
    <xf numFmtId="2" fontId="0" fillId="0" borderId="0" xfId="0" applyNumberFormat="1"/>
    <xf numFmtId="1" fontId="0" fillId="0" borderId="0" xfId="0" applyNumberFormat="1"/>
    <xf numFmtId="10" fontId="0" fillId="0" borderId="0" xfId="0" applyNumberFormat="1"/>
    <xf numFmtId="0" fontId="7" fillId="0" borderId="0" xfId="0" applyFont="1"/>
    <xf numFmtId="1" fontId="0" fillId="15" borderId="0" xfId="0" applyNumberFormat="1" applyFill="1"/>
    <xf numFmtId="0" fontId="0" fillId="15" borderId="0" xfId="0" applyFill="1"/>
    <xf numFmtId="0" fontId="0" fillId="16" borderId="0" xfId="0" applyFill="1"/>
    <xf numFmtId="2" fontId="0" fillId="16" borderId="0" xfId="0" applyNumberFormat="1" applyFill="1"/>
    <xf numFmtId="1" fontId="0" fillId="16" borderId="0" xfId="0" applyNumberFormat="1" applyFill="1"/>
    <xf numFmtId="0" fontId="0" fillId="17" borderId="0" xfId="0" applyFill="1"/>
    <xf numFmtId="2" fontId="3" fillId="0" borderId="0" xfId="1" applyNumberFormat="1"/>
    <xf numFmtId="0" fontId="9" fillId="0" borderId="1" xfId="1" applyFont="1" applyBorder="1" applyAlignment="1">
      <alignment horizontal="center" vertical="center"/>
    </xf>
    <xf numFmtId="0" fontId="3" fillId="0" borderId="0" xfId="1"/>
    <xf numFmtId="0" fontId="3" fillId="0" borderId="2" xfId="1" applyBorder="1"/>
    <xf numFmtId="1" fontId="3" fillId="0" borderId="0" xfId="1" applyNumberFormat="1"/>
    <xf numFmtId="0" fontId="3" fillId="0" borderId="3" xfId="1" applyBorder="1"/>
    <xf numFmtId="164" fontId="0" fillId="0" borderId="0" xfId="0" applyNumberFormat="1"/>
    <xf numFmtId="165" fontId="0" fillId="0" borderId="0" xfId="0" applyNumberFormat="1"/>
    <xf numFmtId="2" fontId="13" fillId="18" borderId="0" xfId="2" applyNumberFormat="1" applyBorder="1"/>
    <xf numFmtId="2" fontId="0" fillId="0" borderId="0" xfId="0" applyNumberFormat="1" applyFont="1" applyBorder="1"/>
    <xf numFmtId="2" fontId="0" fillId="0" borderId="0" xfId="0" applyNumberFormat="1" applyFont="1"/>
    <xf numFmtId="2" fontId="12" fillId="0" borderId="0" xfId="0" applyNumberFormat="1" applyFont="1"/>
    <xf numFmtId="2" fontId="0" fillId="16" borderId="0" xfId="0" applyNumberFormat="1" applyFont="1" applyFill="1"/>
    <xf numFmtId="3" fontId="4" fillId="0" borderId="0" xfId="5" applyNumberFormat="1"/>
    <xf numFmtId="3" fontId="0" fillId="0" borderId="0" xfId="0" applyNumberFormat="1" applyFill="1"/>
    <xf numFmtId="3" fontId="0" fillId="0" borderId="0" xfId="0" applyNumberFormat="1"/>
    <xf numFmtId="0" fontId="1" fillId="0" borderId="0" xfId="6"/>
    <xf numFmtId="166" fontId="0" fillId="0" borderId="0" xfId="0" applyNumberFormat="1"/>
    <xf numFmtId="1" fontId="0" fillId="17" borderId="0" xfId="0" applyNumberFormat="1" applyFill="1"/>
    <xf numFmtId="2" fontId="0" fillId="0" borderId="0" xfId="0" applyNumberFormat="1" applyFill="1"/>
    <xf numFmtId="0" fontId="8" fillId="17" borderId="0" xfId="0" applyFont="1" applyFill="1"/>
    <xf numFmtId="0" fontId="0" fillId="16" borderId="0" xfId="0" applyFill="1" applyAlignment="1">
      <alignment horizontal="right"/>
    </xf>
    <xf numFmtId="1" fontId="0" fillId="16" borderId="0" xfId="0" applyNumberFormat="1" applyFill="1" applyAlignment="1">
      <alignment horizontal="right"/>
    </xf>
    <xf numFmtId="1" fontId="0" fillId="0" borderId="0" xfId="0" applyNumberFormat="1" applyAlignment="1">
      <alignment horizontal="right"/>
    </xf>
    <xf numFmtId="2" fontId="7" fillId="0" borderId="0" xfId="0" applyNumberFormat="1" applyFont="1"/>
    <xf numFmtId="0" fontId="7" fillId="0" borderId="0" xfId="0" applyFont="1" applyAlignment="1">
      <alignment wrapText="1"/>
    </xf>
    <xf numFmtId="0" fontId="7" fillId="5" borderId="0" xfId="0" applyFont="1" applyFill="1" applyAlignment="1">
      <alignment wrapText="1"/>
    </xf>
    <xf numFmtId="0" fontId="7" fillId="6" borderId="0" xfId="0" applyFont="1" applyFill="1"/>
    <xf numFmtId="1" fontId="0" fillId="8" borderId="0" xfId="0" applyNumberFormat="1" applyFill="1"/>
    <xf numFmtId="1" fontId="0" fillId="9" borderId="0" xfId="0" applyNumberFormat="1" applyFill="1"/>
    <xf numFmtId="1" fontId="0" fillId="6" borderId="0" xfId="0" applyNumberFormat="1" applyFill="1"/>
    <xf numFmtId="1" fontId="0" fillId="10" borderId="0" xfId="0" applyNumberFormat="1" applyFill="1"/>
    <xf numFmtId="1" fontId="0" fillId="7" borderId="0" xfId="0" applyNumberFormat="1" applyFill="1"/>
    <xf numFmtId="1" fontId="0" fillId="4" borderId="0" xfId="0" applyNumberFormat="1" applyFill="1"/>
    <xf numFmtId="1" fontId="0" fillId="11" borderId="0" xfId="0" applyNumberFormat="1" applyFill="1"/>
    <xf numFmtId="1" fontId="0" fillId="12" borderId="0" xfId="0" applyNumberFormat="1" applyFill="1"/>
    <xf numFmtId="1" fontId="0" fillId="13" borderId="0" xfId="0" applyNumberFormat="1" applyFill="1"/>
    <xf numFmtId="1" fontId="0" fillId="0" borderId="0" xfId="0" quotePrefix="1" applyNumberFormat="1" applyAlignment="1">
      <alignment horizontal="center"/>
    </xf>
    <xf numFmtId="1" fontId="4" fillId="2" borderId="0" xfId="0" applyNumberFormat="1" applyFont="1" applyFill="1"/>
    <xf numFmtId="165" fontId="0" fillId="16" borderId="0" xfId="0" applyNumberFormat="1" applyFill="1"/>
    <xf numFmtId="1" fontId="4" fillId="5" borderId="0" xfId="0" applyNumberFormat="1" applyFont="1" applyFill="1"/>
    <xf numFmtId="0" fontId="6" fillId="17" borderId="0" xfId="0" applyFont="1" applyFill="1"/>
    <xf numFmtId="0" fontId="15" fillId="0" borderId="0" xfId="3" applyFont="1"/>
    <xf numFmtId="0" fontId="15" fillId="0" borderId="0" xfId="0" applyFont="1"/>
    <xf numFmtId="1" fontId="2" fillId="0" borderId="0" xfId="4" applyNumberFormat="1"/>
    <xf numFmtId="1" fontId="2" fillId="16" borderId="0" xfId="4" applyNumberFormat="1" applyFill="1"/>
    <xf numFmtId="0" fontId="7" fillId="17" borderId="0" xfId="0" applyFont="1" applyFill="1"/>
    <xf numFmtId="0" fontId="7" fillId="0" borderId="0" xfId="0" quotePrefix="1" applyFont="1"/>
    <xf numFmtId="1" fontId="0" fillId="0" borderId="0" xfId="7" applyNumberFormat="1" applyFont="1"/>
    <xf numFmtId="1" fontId="0" fillId="17" borderId="0" xfId="7" applyNumberFormat="1" applyFont="1" applyFill="1"/>
    <xf numFmtId="1" fontId="0" fillId="16" borderId="0" xfId="7" applyNumberFormat="1" applyFont="1" applyFill="1"/>
  </cellXfs>
  <cellStyles count="8">
    <cellStyle name="Accent5" xfId="2" builtinId="45"/>
    <cellStyle name="Komma" xfId="7" builtinId="3"/>
    <cellStyle name="Normal 2" xfId="1"/>
    <cellStyle name="Normal 3" xfId="3"/>
    <cellStyle name="Normal 4" xfId="4"/>
    <cellStyle name="Normal 5" xfId="6"/>
    <cellStyle name="Normal_HOLLANDP_1" xfId="5"/>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4"/>
  <sheetViews>
    <sheetView workbookViewId="0">
      <selection activeCell="A2" sqref="A2"/>
    </sheetView>
  </sheetViews>
  <sheetFormatPr defaultRowHeight="12.75" x14ac:dyDescent="0.2"/>
  <cols>
    <col min="2" max="4" width="12.28515625" bestFit="1" customWidth="1"/>
    <col min="24" max="27" width="9.5703125" bestFit="1" customWidth="1"/>
  </cols>
  <sheetData>
    <row r="1" spans="1:30" x14ac:dyDescent="0.2">
      <c r="A1" t="s">
        <v>0</v>
      </c>
      <c r="B1" t="s">
        <v>324</v>
      </c>
      <c r="C1" t="s">
        <v>325</v>
      </c>
      <c r="D1" t="s">
        <v>326</v>
      </c>
      <c r="E1" t="s">
        <v>212</v>
      </c>
      <c r="F1" t="s">
        <v>213</v>
      </c>
      <c r="G1" t="s">
        <v>229</v>
      </c>
      <c r="H1" t="s">
        <v>224</v>
      </c>
      <c r="I1" t="s">
        <v>215</v>
      </c>
      <c r="J1" t="s">
        <v>322</v>
      </c>
      <c r="M1" t="s">
        <v>214</v>
      </c>
      <c r="N1" t="s">
        <v>216</v>
      </c>
      <c r="P1" t="s">
        <v>226</v>
      </c>
      <c r="Q1" t="s">
        <v>225</v>
      </c>
      <c r="S1" t="s">
        <v>266</v>
      </c>
      <c r="U1" s="27" t="s">
        <v>371</v>
      </c>
      <c r="X1" t="s">
        <v>331</v>
      </c>
      <c r="Y1" t="s">
        <v>304</v>
      </c>
      <c r="Z1" t="s">
        <v>271</v>
      </c>
      <c r="AA1" t="s">
        <v>33</v>
      </c>
      <c r="AB1" t="s">
        <v>332</v>
      </c>
    </row>
    <row r="2" spans="1:30" x14ac:dyDescent="0.2">
      <c r="B2" t="s">
        <v>327</v>
      </c>
      <c r="C2" t="s">
        <v>327</v>
      </c>
      <c r="D2" t="s">
        <v>327</v>
      </c>
      <c r="E2" t="s">
        <v>327</v>
      </c>
      <c r="F2" t="s">
        <v>327</v>
      </c>
      <c r="G2" t="s">
        <v>328</v>
      </c>
      <c r="H2" t="s">
        <v>327</v>
      </c>
      <c r="I2" t="s">
        <v>327</v>
      </c>
      <c r="J2" t="s">
        <v>327</v>
      </c>
      <c r="S2" t="s">
        <v>327</v>
      </c>
      <c r="U2" t="s">
        <v>330</v>
      </c>
      <c r="X2" t="s">
        <v>327</v>
      </c>
    </row>
    <row r="3" spans="1:30" ht="15" x14ac:dyDescent="0.25">
      <c r="A3">
        <v>1701</v>
      </c>
      <c r="B3" s="82"/>
      <c r="C3" s="82">
        <f>+M3*135</f>
        <v>71685</v>
      </c>
      <c r="D3" s="83"/>
      <c r="E3" s="30">
        <v>20000</v>
      </c>
      <c r="F3" s="25">
        <v>0</v>
      </c>
      <c r="G3" s="34">
        <v>171.59321218371414</v>
      </c>
      <c r="H3" s="25">
        <f>2*M3*G3/7.69</f>
        <v>23697.268054499924</v>
      </c>
      <c r="I3" s="25">
        <f>+C3+F3*0.5+H3*1.05</f>
        <v>96567.131457224925</v>
      </c>
      <c r="J3" s="25">
        <v>112499.19303058927</v>
      </c>
      <c r="M3">
        <f>+'Company establishment'!B3</f>
        <v>531</v>
      </c>
      <c r="N3" s="25">
        <f t="shared" ref="N3:N12" si="0">+C3/M3</f>
        <v>135</v>
      </c>
      <c r="O3" s="25">
        <f t="shared" ref="O3:O12" si="1">+I3/M3</f>
        <v>181.85900462754222</v>
      </c>
      <c r="P3" s="25">
        <f>+J3/(M3+Q3)</f>
        <v>129.16095640710594</v>
      </c>
      <c r="Q3" s="32">
        <v>340</v>
      </c>
      <c r="S3" s="52">
        <f>+E3/17.15</f>
        <v>1166.1807580174927</v>
      </c>
      <c r="U3" s="25">
        <f>+(S3+J3)/1000</f>
        <v>113.66537378860677</v>
      </c>
      <c r="X3" s="25">
        <f>+U3*1000/(Population!AM4*Population!X4)</f>
        <v>116.95292038050269</v>
      </c>
      <c r="Y3" s="25">
        <f>+resteconomy!Q3/(resteconomy!B3*Population!X4)</f>
        <v>291.64813510961858</v>
      </c>
      <c r="Z3" s="25">
        <f>+'Agricultural production'!AN4</f>
        <v>146.63932830499826</v>
      </c>
      <c r="AA3" s="25">
        <f>+Population!AM4*X3+Population!AL4*'incomeVOC and total income'!Z3+Population!AN4*'incomeVOC and total income'!Y3</f>
        <v>160.87063850513317</v>
      </c>
      <c r="AB3" s="25">
        <f>+(X3*100)/+'total economy'!L3</f>
        <v>116.95270494192823</v>
      </c>
      <c r="AC3" s="25"/>
      <c r="AD3" s="25"/>
    </row>
    <row r="4" spans="1:30" ht="15" x14ac:dyDescent="0.25">
      <c r="A4">
        <f t="shared" ref="A4:A11" si="2">+A5-1</f>
        <v>1702</v>
      </c>
      <c r="B4" s="82"/>
      <c r="C4" s="82">
        <f t="shared" ref="C4:C12" si="3">+M4*135</f>
        <v>79110</v>
      </c>
      <c r="D4" s="82"/>
      <c r="E4">
        <f>+'Wissel transfers from the Cape'!B3</f>
        <v>24513</v>
      </c>
      <c r="F4" s="25">
        <v>0</v>
      </c>
      <c r="G4" s="34">
        <v>165.94427714670269</v>
      </c>
      <c r="H4" s="25">
        <f t="shared" ref="H4:H44" si="4">2*M4*G4/7.69</f>
        <v>25290.857323268603</v>
      </c>
      <c r="I4" s="25">
        <f t="shared" ref="I4:I67" si="5">+C4+F4*0.5+H4*1.05</f>
        <v>105665.40018943204</v>
      </c>
      <c r="J4" s="25">
        <v>121888.66515157651</v>
      </c>
      <c r="M4">
        <f>+'Company establishment'!B4</f>
        <v>586</v>
      </c>
      <c r="N4" s="25">
        <f t="shared" si="0"/>
        <v>135</v>
      </c>
      <c r="O4" s="25">
        <f t="shared" si="1"/>
        <v>180.31638257582259</v>
      </c>
      <c r="P4" s="25">
        <f t="shared" ref="P4:P67" si="6">+J4/(M4+Q4)</f>
        <v>129.11934867751754</v>
      </c>
      <c r="Q4" s="25">
        <v>357.99999999999983</v>
      </c>
      <c r="S4" s="52">
        <f>0.1*'Gross receipts from VOC sales'!B6+0.1*'Exports in money value'!B7</f>
        <v>1429.1362934362935</v>
      </c>
      <c r="U4" s="25">
        <f t="shared" ref="U4:U67" si="7">+(S4+J4)/1000</f>
        <v>123.3178014450128</v>
      </c>
      <c r="X4" s="25">
        <f>+U4*1000/(Population!AM5*Population!X5)</f>
        <v>116.85125309853966</v>
      </c>
      <c r="Y4" s="25">
        <f>+resteconomy!Q4/(resteconomy!B4*Population!X5)</f>
        <v>262.76677757520542</v>
      </c>
      <c r="Z4" s="25">
        <f>+'Agricultural production'!AN5</f>
        <v>149.60719002624538</v>
      </c>
      <c r="AA4" s="25">
        <f>+Population!AM5*X4+Population!AL5*'incomeVOC and total income'!Z4+Population!AN5*'incomeVOC and total income'!Y4</f>
        <v>158.34898013636194</v>
      </c>
      <c r="AB4" s="25">
        <f>+(X4*100)/+'total economy'!L4</f>
        <v>118.50083603548315</v>
      </c>
      <c r="AC4" s="25"/>
      <c r="AD4" s="25"/>
    </row>
    <row r="5" spans="1:30" ht="15" x14ac:dyDescent="0.25">
      <c r="A5">
        <f t="shared" si="2"/>
        <v>1703</v>
      </c>
      <c r="B5" s="82"/>
      <c r="C5" s="82">
        <f t="shared" si="3"/>
        <v>75600</v>
      </c>
      <c r="D5" s="83"/>
      <c r="E5" s="30">
        <f>+(E4+E6)/2</f>
        <v>30505</v>
      </c>
      <c r="F5" s="25">
        <f t="shared" ref="F5:F12" si="8">+E5-0.33*C5</f>
        <v>5557</v>
      </c>
      <c r="G5" s="34">
        <v>165.9691465540858</v>
      </c>
      <c r="H5" s="25">
        <f t="shared" si="4"/>
        <v>24172.359446108723</v>
      </c>
      <c r="I5" s="25">
        <f t="shared" si="5"/>
        <v>103759.47741841416</v>
      </c>
      <c r="J5" s="25">
        <v>120633.67148613122</v>
      </c>
      <c r="M5" s="30">
        <v>560</v>
      </c>
      <c r="N5" s="25">
        <f t="shared" si="0"/>
        <v>135</v>
      </c>
      <c r="O5" s="25">
        <f t="shared" si="1"/>
        <v>185.28478110431101</v>
      </c>
      <c r="P5" s="25">
        <f t="shared" si="6"/>
        <v>129.3924669118741</v>
      </c>
      <c r="Q5" s="25">
        <v>372.30830484352481</v>
      </c>
      <c r="S5" s="52">
        <f>+E5/17.15</f>
        <v>1778.717201166181</v>
      </c>
      <c r="U5" s="25">
        <f t="shared" si="7"/>
        <v>122.41238868729739</v>
      </c>
      <c r="X5" s="25">
        <f>+U5*1000/(Population!AM6*Population!X6)</f>
        <v>117.85059204445089</v>
      </c>
      <c r="Y5" s="25">
        <f>+resteconomy!Q5/(resteconomy!B5*Population!X6)</f>
        <v>219.10092394841541</v>
      </c>
      <c r="Z5" s="25">
        <f>+'Agricultural production'!AN6</f>
        <v>145.54934201117567</v>
      </c>
      <c r="AA5" s="25">
        <f>+Population!AM6*X5+Population!AL6*'incomeVOC and total income'!Z5+Population!AN6*'incomeVOC and total income'!Y5</f>
        <v>151.35595213723013</v>
      </c>
      <c r="AB5" s="25">
        <f>+(X5*100)/+'total economy'!L5</f>
        <v>119.06712543023946</v>
      </c>
      <c r="AC5" s="25"/>
      <c r="AD5" s="25"/>
    </row>
    <row r="6" spans="1:30" ht="15" x14ac:dyDescent="0.25">
      <c r="A6">
        <f t="shared" si="2"/>
        <v>1704</v>
      </c>
      <c r="B6" s="82"/>
      <c r="C6" s="82">
        <f t="shared" si="3"/>
        <v>75600</v>
      </c>
      <c r="D6" s="82"/>
      <c r="E6">
        <f>+'Wissel transfers from the Cape'!B5</f>
        <v>36497</v>
      </c>
      <c r="F6" s="25">
        <f t="shared" si="8"/>
        <v>11549</v>
      </c>
      <c r="G6" s="34">
        <v>167.35241323763054</v>
      </c>
      <c r="H6" s="25">
        <f t="shared" si="4"/>
        <v>24373.823514453343</v>
      </c>
      <c r="I6" s="25">
        <f t="shared" si="5"/>
        <v>106967.01469017602</v>
      </c>
      <c r="J6" s="25">
        <v>124661.88383374228</v>
      </c>
      <c r="M6" s="30">
        <v>560</v>
      </c>
      <c r="N6" s="25">
        <f t="shared" si="0"/>
        <v>135</v>
      </c>
      <c r="O6" s="25">
        <f t="shared" si="1"/>
        <v>191.01252623245716</v>
      </c>
      <c r="P6" s="25">
        <f t="shared" si="6"/>
        <v>131.61254301078984</v>
      </c>
      <c r="Q6" s="25">
        <v>387.18847445658946</v>
      </c>
      <c r="S6" s="52">
        <f>0.1*'Gross receipts from VOC sales'!B8+0.1*'Exports in money value'!B9</f>
        <v>2127.8173745173749</v>
      </c>
      <c r="U6" s="25">
        <f t="shared" si="7"/>
        <v>126.78970120825964</v>
      </c>
      <c r="X6" s="25">
        <f>+U6*1000/(Population!AM7*Population!X7)</f>
        <v>120.34082023690902</v>
      </c>
      <c r="Y6" s="25">
        <f>+resteconomy!Q6/(resteconomy!B6*Population!X7)</f>
        <v>219.01013530039387</v>
      </c>
      <c r="Z6" s="25">
        <f>+'Agricultural production'!AN7</f>
        <v>122.31390951401539</v>
      </c>
      <c r="AA6" s="25">
        <f>+Population!AM7*X6+Population!AL7*'incomeVOC and total income'!Z6+Population!AN7*'incomeVOC and total income'!Y6</f>
        <v>137.98453797782599</v>
      </c>
      <c r="AB6" s="25">
        <f>+(X6*100)/+'total economy'!L6</f>
        <v>120.60791797528752</v>
      </c>
      <c r="AC6" s="25"/>
      <c r="AD6" s="25"/>
    </row>
    <row r="7" spans="1:30" ht="15" x14ac:dyDescent="0.25">
      <c r="A7">
        <f t="shared" si="2"/>
        <v>1705</v>
      </c>
      <c r="B7" s="82"/>
      <c r="C7" s="82">
        <f t="shared" si="3"/>
        <v>73170</v>
      </c>
      <c r="D7" s="82"/>
      <c r="E7">
        <f>+'Wissel transfers from the Cape'!B6</f>
        <v>30565</v>
      </c>
      <c r="F7" s="25">
        <f t="shared" si="8"/>
        <v>6418.8999999999978</v>
      </c>
      <c r="G7" s="34">
        <v>167.23430553891137</v>
      </c>
      <c r="H7" s="25">
        <f t="shared" si="4"/>
        <v>23573.730455680092</v>
      </c>
      <c r="I7" s="25">
        <f t="shared" si="5"/>
        <v>101131.8669784641</v>
      </c>
      <c r="J7" s="25">
        <v>119520.96569839166</v>
      </c>
      <c r="M7">
        <f>+'Company establishment'!B7</f>
        <v>542</v>
      </c>
      <c r="N7" s="25">
        <f t="shared" si="0"/>
        <v>135</v>
      </c>
      <c r="O7" s="25">
        <f t="shared" si="1"/>
        <v>186.59016047687103</v>
      </c>
      <c r="P7" s="25">
        <f t="shared" si="6"/>
        <v>126.52228313124027</v>
      </c>
      <c r="Q7" s="25">
        <v>402.66336474827739</v>
      </c>
      <c r="S7" s="52">
        <f>0.1*'Gross receipts from VOC sales'!B9+0.1*'Exports in money value'!B10</f>
        <v>1781.9749034749036</v>
      </c>
      <c r="U7" s="25">
        <f t="shared" si="7"/>
        <v>121.30294060186657</v>
      </c>
      <c r="X7" s="25">
        <f>+U7*1000/(Population!AM8*Population!X8)</f>
        <v>115.67386129769517</v>
      </c>
      <c r="Y7" s="25">
        <f>+resteconomy!Q7/(resteconomy!B7*Population!X8)</f>
        <v>199.12338081360906</v>
      </c>
      <c r="Z7" s="25">
        <f>+'Agricultural production'!AN8</f>
        <v>120.55667911622363</v>
      </c>
      <c r="AA7" s="25">
        <f>+Population!AM8*X7+Population!AL8*'incomeVOC and total income'!Z7+Population!AN8*'incomeVOC and total income'!Y7</f>
        <v>133.53334093360871</v>
      </c>
      <c r="AB7" s="25">
        <f>+(X7*100)/+'total economy'!L7</f>
        <v>115.52859711620933</v>
      </c>
      <c r="AC7" s="25"/>
      <c r="AD7" s="25"/>
    </row>
    <row r="8" spans="1:30" ht="15" x14ac:dyDescent="0.25">
      <c r="A8">
        <f t="shared" si="2"/>
        <v>1706</v>
      </c>
      <c r="B8" s="82"/>
      <c r="C8" s="82">
        <f t="shared" si="3"/>
        <v>71685</v>
      </c>
      <c r="D8" s="82"/>
      <c r="E8">
        <f>+'Wissel transfers from the Cape'!B7</f>
        <v>28827</v>
      </c>
      <c r="F8" s="25">
        <f t="shared" si="8"/>
        <v>5170.9499999999971</v>
      </c>
      <c r="G8" s="34">
        <v>163.46890028201204</v>
      </c>
      <c r="H8" s="25">
        <f t="shared" si="4"/>
        <v>22575.288959622467</v>
      </c>
      <c r="I8" s="25">
        <f t="shared" si="5"/>
        <v>97974.52840760359</v>
      </c>
      <c r="J8" s="25">
        <v>116667.99780695682</v>
      </c>
      <c r="M8">
        <f>+'Company establishment'!B8</f>
        <v>531</v>
      </c>
      <c r="N8" s="25">
        <f t="shared" si="0"/>
        <v>135</v>
      </c>
      <c r="O8" s="25">
        <f t="shared" si="1"/>
        <v>184.50946969416873</v>
      </c>
      <c r="P8" s="25">
        <f t="shared" si="6"/>
        <v>122.83987284821882</v>
      </c>
      <c r="Q8" s="25">
        <v>418.75674511737742</v>
      </c>
      <c r="S8" s="52">
        <f>0.1*'Gross receipts from VOC sales'!B10+0.1*'Exports in money value'!B11</f>
        <v>3640.6474903474905</v>
      </c>
      <c r="U8" s="25">
        <f t="shared" si="7"/>
        <v>120.30864529730431</v>
      </c>
      <c r="X8" s="25">
        <f>+U8*1000/(Population!AM9*Population!X9)</f>
        <v>114.26968252223479</v>
      </c>
      <c r="Y8" s="25">
        <f>+resteconomy!Q8/(resteconomy!B8*Population!X9)</f>
        <v>199.90127931082665</v>
      </c>
      <c r="Z8" s="25">
        <f>+'Agricultural production'!AN9</f>
        <v>208.67684910236727</v>
      </c>
      <c r="AA8" s="25">
        <f>+Population!AM9*X8+Population!AL9*'incomeVOC and total income'!Z8+Population!AN9*'incomeVOC and total income'!Y8</f>
        <v>185.99448258021687</v>
      </c>
      <c r="AB8" s="25">
        <f>+(X8*100)/+'total economy'!L8</f>
        <v>103.47404477827691</v>
      </c>
      <c r="AC8" s="25"/>
      <c r="AD8" s="25"/>
    </row>
    <row r="9" spans="1:30" ht="15" x14ac:dyDescent="0.25">
      <c r="A9">
        <f t="shared" si="2"/>
        <v>1707</v>
      </c>
      <c r="B9" s="82"/>
      <c r="C9" s="82">
        <f t="shared" si="3"/>
        <v>71145</v>
      </c>
      <c r="D9" s="82"/>
      <c r="E9">
        <f>+'Wissel transfers from the Cape'!B8</f>
        <v>16041</v>
      </c>
      <c r="F9" s="25">
        <v>0</v>
      </c>
      <c r="G9" s="34">
        <v>163.76625053036915</v>
      </c>
      <c r="H9" s="25">
        <f t="shared" si="4"/>
        <v>22445.985443304173</v>
      </c>
      <c r="I9" s="25">
        <f t="shared" si="5"/>
        <v>94713.284715469374</v>
      </c>
      <c r="J9" s="25">
        <v>114189.24469663973</v>
      </c>
      <c r="M9">
        <f>+'Company establishment'!B9</f>
        <v>527</v>
      </c>
      <c r="N9" s="25">
        <f t="shared" si="0"/>
        <v>135</v>
      </c>
      <c r="O9" s="25">
        <f t="shared" si="1"/>
        <v>179.72160287565347</v>
      </c>
      <c r="P9" s="25">
        <f t="shared" si="6"/>
        <v>118.63899784940587</v>
      </c>
      <c r="Q9" s="25">
        <v>435.49333496213092</v>
      </c>
      <c r="S9" s="52">
        <f>0.1*'Gross receipts from VOC sales'!B11+0.1*'Exports in money value'!B12</f>
        <v>6542.2088803088809</v>
      </c>
      <c r="U9" s="25">
        <f t="shared" si="7"/>
        <v>120.73145357694861</v>
      </c>
      <c r="X9" s="25">
        <f>+U9*1000/(Population!AM10*Population!X10)</f>
        <v>113.25485927384513</v>
      </c>
      <c r="Y9" s="25">
        <f>+resteconomy!Q9/(resteconomy!B9*Population!X10)</f>
        <v>247.38971328278265</v>
      </c>
      <c r="Z9" s="25">
        <f>+'Agricultural production'!AN10</f>
        <v>213.85942280650437</v>
      </c>
      <c r="AA9" s="25">
        <f>+Population!AM10*X9+Population!AL10*'incomeVOC and total income'!Z9+Population!AN10*'incomeVOC and total income'!Y9</f>
        <v>195.25229855151093</v>
      </c>
      <c r="AB9" s="25">
        <f>+(X9*100)/+'total economy'!L9</f>
        <v>108.11035457406905</v>
      </c>
      <c r="AC9" s="25"/>
      <c r="AD9" s="25"/>
    </row>
    <row r="10" spans="1:30" ht="15" x14ac:dyDescent="0.25">
      <c r="A10">
        <f t="shared" si="2"/>
        <v>1708</v>
      </c>
      <c r="B10" s="82"/>
      <c r="C10" s="82">
        <f t="shared" si="3"/>
        <v>69255</v>
      </c>
      <c r="D10" s="82"/>
      <c r="E10">
        <f>+'Wissel transfers from the Cape'!B9</f>
        <v>29616</v>
      </c>
      <c r="F10" s="25">
        <f t="shared" si="8"/>
        <v>6761.8499999999985</v>
      </c>
      <c r="G10" s="34">
        <v>163.45515055764309</v>
      </c>
      <c r="H10" s="25">
        <f t="shared" si="4"/>
        <v>21808.190438509988</v>
      </c>
      <c r="I10" s="25">
        <f t="shared" si="5"/>
        <v>95534.52496043549</v>
      </c>
      <c r="J10" s="25">
        <v>115750.41072548239</v>
      </c>
      <c r="M10">
        <f>+'Company establishment'!B10</f>
        <v>513</v>
      </c>
      <c r="N10" s="25">
        <f t="shared" si="0"/>
        <v>135</v>
      </c>
      <c r="O10" s="25">
        <f t="shared" si="1"/>
        <v>186.22714417238888</v>
      </c>
      <c r="P10" s="25">
        <f t="shared" si="6"/>
        <v>119.8369909294542</v>
      </c>
      <c r="Q10" s="25">
        <v>452.89884164917407</v>
      </c>
      <c r="S10" s="52">
        <f>0.1*'Gross receipts from VOC sales'!B12+0.1*'Exports in money value'!B13</f>
        <v>9160.6471042471039</v>
      </c>
      <c r="U10" s="25">
        <f t="shared" si="7"/>
        <v>124.9110578297295</v>
      </c>
      <c r="X10" s="25">
        <f>+U10*1000/(Population!AM11*Population!X11)</f>
        <v>116.97323534002534</v>
      </c>
      <c r="Y10" s="25">
        <f>+resteconomy!Q10/(resteconomy!B10*Population!X11)</f>
        <v>227.1633409970473</v>
      </c>
      <c r="Z10" s="25">
        <f>+'Agricultural production'!AN11</f>
        <v>248.54018499524022</v>
      </c>
      <c r="AA10" s="25">
        <f>+Population!AM11*X10+Population!AL11*'incomeVOC and total income'!Z10+Population!AN11*'incomeVOC and total income'!Y10</f>
        <v>216.13264861988824</v>
      </c>
      <c r="AB10" s="25">
        <f>+(X10*100)/+'total economy'!L10</f>
        <v>107.90417597218557</v>
      </c>
      <c r="AC10" s="25"/>
      <c r="AD10" s="25"/>
    </row>
    <row r="11" spans="1:30" ht="15" x14ac:dyDescent="0.25">
      <c r="A11">
        <f t="shared" si="2"/>
        <v>1709</v>
      </c>
      <c r="B11" s="82"/>
      <c r="C11" s="82">
        <f t="shared" si="3"/>
        <v>83835</v>
      </c>
      <c r="D11" s="82"/>
      <c r="E11">
        <f>+'Wissel transfers from the Cape'!B10</f>
        <v>113121</v>
      </c>
      <c r="F11" s="25">
        <f t="shared" si="8"/>
        <v>85455.45</v>
      </c>
      <c r="G11" s="34">
        <v>169.39900203862967</v>
      </c>
      <c r="H11" s="25">
        <f t="shared" si="4"/>
        <v>27359.370680361255</v>
      </c>
      <c r="I11" s="25">
        <f t="shared" si="5"/>
        <v>155290.06421437932</v>
      </c>
      <c r="J11" s="25">
        <v>177078.43260402934</v>
      </c>
      <c r="M11">
        <f>+'Company establishment'!B11</f>
        <v>621</v>
      </c>
      <c r="N11" s="25">
        <f t="shared" si="0"/>
        <v>135</v>
      </c>
      <c r="O11" s="25">
        <f t="shared" si="1"/>
        <v>250.06451564312292</v>
      </c>
      <c r="P11" s="25">
        <f t="shared" si="6"/>
        <v>162.15973681687666</v>
      </c>
      <c r="Q11" s="25">
        <v>471.00000000000017</v>
      </c>
      <c r="S11" s="52">
        <f>0.1*'Gross receipts from VOC sales'!B13+0.1*'Exports in money value'!B14</f>
        <v>11969.685328185329</v>
      </c>
      <c r="U11" s="25">
        <f t="shared" si="7"/>
        <v>189.04811793221467</v>
      </c>
      <c r="X11" s="25">
        <f>+U11*1000/(Population!AM12*Population!X12)</f>
        <v>155.35435363108718</v>
      </c>
      <c r="Y11" s="25">
        <f>+resteconomy!Q11/(resteconomy!B11*Population!X12)</f>
        <v>231.51316053984087</v>
      </c>
      <c r="Z11" s="25">
        <f>+'Agricultural production'!AN12</f>
        <v>217.51208183197258</v>
      </c>
      <c r="AA11" s="25">
        <f>+Population!AM12*X11+Population!AL12*'incomeVOC and total income'!Z11+Population!AN12*'incomeVOC and total income'!Y11</f>
        <v>205.65580572400128</v>
      </c>
      <c r="AB11" s="25">
        <f>+(X11*100)/+'total economy'!L11</f>
        <v>136.94847106471437</v>
      </c>
      <c r="AC11" s="25"/>
      <c r="AD11" s="25"/>
    </row>
    <row r="12" spans="1:30" ht="15" x14ac:dyDescent="0.25">
      <c r="A12">
        <f>+A13-1</f>
        <v>1710</v>
      </c>
      <c r="B12" s="82"/>
      <c r="C12" s="82">
        <f t="shared" si="3"/>
        <v>86400</v>
      </c>
      <c r="D12" s="82"/>
      <c r="E12">
        <f>+'Wissel transfers from the Cape'!B11</f>
        <v>119709</v>
      </c>
      <c r="F12" s="25">
        <f t="shared" si="8"/>
        <v>91197</v>
      </c>
      <c r="G12" s="34">
        <v>182.02803583995441</v>
      </c>
      <c r="H12" s="25">
        <f t="shared" si="4"/>
        <v>30298.554730187469</v>
      </c>
      <c r="I12" s="25">
        <f t="shared" si="5"/>
        <v>163811.98246669685</v>
      </c>
      <c r="J12" s="25">
        <v>189436.74842229407</v>
      </c>
      <c r="M12">
        <f>+'Company establishment'!B12</f>
        <v>640</v>
      </c>
      <c r="N12" s="25">
        <f t="shared" si="0"/>
        <v>135</v>
      </c>
      <c r="O12" s="25">
        <f t="shared" si="1"/>
        <v>255.95622260421382</v>
      </c>
      <c r="P12" s="25">
        <f t="shared" si="6"/>
        <v>163.94352957359936</v>
      </c>
      <c r="Q12" s="25">
        <f>+(Q11+Q13)/2</f>
        <v>515.50000000000011</v>
      </c>
      <c r="S12" s="52">
        <f>0.1*'Gross receipts from VOC sales'!B14+0.1*'Exports in money value'!B15</f>
        <v>11803.573359073362</v>
      </c>
      <c r="U12" s="25">
        <f t="shared" si="7"/>
        <v>201.24032178136744</v>
      </c>
      <c r="X12" s="25">
        <f>+U12*1000/(Population!AM13*Population!X13)</f>
        <v>156.51920015521924</v>
      </c>
      <c r="Y12" s="25">
        <f>+resteconomy!Q12/(resteconomy!B12*Population!X13)</f>
        <v>185.65586811177363</v>
      </c>
      <c r="Z12" s="25">
        <f>+'Agricultural production'!AN13</f>
        <v>251.77306373578074</v>
      </c>
      <c r="AA12" s="25">
        <f>+Population!AM13*X12+Population!AL13*'incomeVOC and total income'!Z12+Population!AN13*'incomeVOC and total income'!Y12</f>
        <v>218.13694419409842</v>
      </c>
      <c r="AB12" s="25">
        <f>+(X12*100)/+'total economy'!L12</f>
        <v>124.11534061103117</v>
      </c>
      <c r="AC12" s="25"/>
      <c r="AD12" s="25"/>
    </row>
    <row r="13" spans="1:30" ht="15" x14ac:dyDescent="0.25">
      <c r="A13">
        <v>1711</v>
      </c>
      <c r="B13" s="82">
        <v>64689</v>
      </c>
      <c r="C13" s="82">
        <v>96732</v>
      </c>
      <c r="D13" s="82">
        <v>32043</v>
      </c>
      <c r="E13">
        <f>+'Wissel transfers from the Cape'!B12</f>
        <v>51084</v>
      </c>
      <c r="F13" s="25">
        <f>+E13-D13</f>
        <v>19041</v>
      </c>
      <c r="G13" s="34">
        <v>172.27731497701097</v>
      </c>
      <c r="H13" s="25">
        <f t="shared" si="4"/>
        <v>32797.657883789863</v>
      </c>
      <c r="I13" s="25">
        <f t="shared" si="5"/>
        <v>140690.04077797936</v>
      </c>
      <c r="J13" s="25">
        <v>167035.70038954826</v>
      </c>
      <c r="M13">
        <f>+'Company establishment'!B13</f>
        <v>732</v>
      </c>
      <c r="N13" s="25">
        <f>+C13/M13</f>
        <v>132.14754098360655</v>
      </c>
      <c r="O13" s="25">
        <f>+I13/M13</f>
        <v>192.19950925953464</v>
      </c>
      <c r="P13" s="25">
        <f t="shared" si="6"/>
        <v>129.28459782472777</v>
      </c>
      <c r="Q13" s="25">
        <v>560</v>
      </c>
      <c r="S13" s="52">
        <f>0.1*'Gross receipts from VOC sales'!B15+0.1*'Exports in money value'!B16</f>
        <v>2978.2563706563706</v>
      </c>
      <c r="U13" s="25">
        <f t="shared" si="7"/>
        <v>170.01395676020462</v>
      </c>
      <c r="X13" s="25">
        <f>+U13*1000/(Population!AM14*Population!X14)</f>
        <v>117.84429163605124</v>
      </c>
      <c r="Y13" s="25">
        <f>+resteconomy!Q13/(resteconomy!B13*Population!X14)</f>
        <v>223.2425768755779</v>
      </c>
      <c r="Z13" s="25">
        <f>+'Agricultural production'!AN14</f>
        <v>147.01639454210056</v>
      </c>
      <c r="AA13" s="25">
        <f>+Population!AM14*X13+Population!AL14*'incomeVOC and total income'!Z13+Population!AN14*'incomeVOC and total income'!Y13</f>
        <v>149.0157508553668</v>
      </c>
      <c r="AB13" s="25">
        <f>+(X13*100)/+'total economy'!L13</f>
        <v>100.66920840737413</v>
      </c>
      <c r="AC13" s="25"/>
      <c r="AD13" s="25"/>
    </row>
    <row r="14" spans="1:30" ht="15" x14ac:dyDescent="0.25">
      <c r="A14">
        <v>1712</v>
      </c>
      <c r="B14" s="82">
        <v>69856</v>
      </c>
      <c r="C14" s="82">
        <v>87432</v>
      </c>
      <c r="D14" s="82">
        <v>17576</v>
      </c>
      <c r="E14">
        <f>+'Wissel transfers from the Cape'!B13</f>
        <v>43691</v>
      </c>
      <c r="F14" s="25">
        <f t="shared" ref="F14:F77" si="9">+E14-D14</f>
        <v>26115</v>
      </c>
      <c r="G14" s="34">
        <v>180.85352018930845</v>
      </c>
      <c r="H14" s="25">
        <f t="shared" si="4"/>
        <v>29726.76846804758</v>
      </c>
      <c r="I14" s="25">
        <f t="shared" si="5"/>
        <v>131702.60689144995</v>
      </c>
      <c r="J14" s="25">
        <v>159754.89283186701</v>
      </c>
      <c r="M14">
        <f>+'Company establishment'!B14</f>
        <v>632</v>
      </c>
      <c r="N14" s="25">
        <f t="shared" ref="N14:N77" si="10">+C14/M14</f>
        <v>138.34177215189874</v>
      </c>
      <c r="O14" s="25">
        <f t="shared" ref="O14:O77" si="11">+I14/M14</f>
        <v>208.39020077761069</v>
      </c>
      <c r="P14" s="25">
        <f t="shared" si="6"/>
        <v>133.12907735988918</v>
      </c>
      <c r="Q14" s="25">
        <v>568</v>
      </c>
      <c r="S14" s="52">
        <f>0.1*'Gross receipts from VOC sales'!B16+0.1*'Exports in money value'!B17</f>
        <v>2547.2359073359075</v>
      </c>
      <c r="U14" s="25">
        <f t="shared" si="7"/>
        <v>162.30212873920291</v>
      </c>
      <c r="X14" s="25">
        <f>+U14*1000/(Population!AM15*Population!X15)</f>
        <v>121.88066505168496</v>
      </c>
      <c r="Y14" s="25">
        <f>+resteconomy!Q14/(resteconomy!B14*Population!X15)</f>
        <v>167.71701325724487</v>
      </c>
      <c r="Z14" s="25">
        <f>+'Agricultural production'!AN15</f>
        <v>132.96378586357741</v>
      </c>
      <c r="AA14" s="25">
        <f>+Population!AM15*X14+Population!AL15*'incomeVOC and total income'!Z14+Population!AN15*'incomeVOC and total income'!Y14</f>
        <v>136.20964538178504</v>
      </c>
      <c r="AB14" s="25">
        <f>+(X14*100)/+'total economy'!L14</f>
        <v>97.269070449753016</v>
      </c>
      <c r="AC14" s="25"/>
      <c r="AD14" s="25"/>
    </row>
    <row r="15" spans="1:30" ht="15" x14ac:dyDescent="0.25">
      <c r="A15">
        <v>1713</v>
      </c>
      <c r="B15" s="82">
        <v>62419</v>
      </c>
      <c r="C15" s="82">
        <v>82788</v>
      </c>
      <c r="D15" s="82">
        <v>20369</v>
      </c>
      <c r="E15">
        <f>+'Wissel transfers from the Cape'!B14</f>
        <v>79021</v>
      </c>
      <c r="F15" s="25">
        <f t="shared" si="9"/>
        <v>58652</v>
      </c>
      <c r="G15" s="34">
        <v>184.79629285206241</v>
      </c>
      <c r="H15" s="25">
        <f t="shared" si="4"/>
        <v>28404.319655544572</v>
      </c>
      <c r="I15" s="25">
        <f t="shared" si="5"/>
        <v>141938.5356383218</v>
      </c>
      <c r="J15" s="25">
        <v>164193.39218062285</v>
      </c>
      <c r="M15">
        <f>+'Company establishment'!B15</f>
        <v>591</v>
      </c>
      <c r="N15" s="25">
        <f t="shared" si="10"/>
        <v>140.08121827411168</v>
      </c>
      <c r="O15" s="25">
        <f t="shared" si="11"/>
        <v>240.16672696839561</v>
      </c>
      <c r="P15" s="25">
        <f t="shared" si="6"/>
        <v>159.10212420602988</v>
      </c>
      <c r="Q15" s="25">
        <v>441</v>
      </c>
      <c r="S15" s="52">
        <f>0.1*'Gross receipts from VOC sales'!B17+0.1*'Exports in money value'!B18</f>
        <v>8483.6158301158302</v>
      </c>
      <c r="U15" s="25">
        <f t="shared" si="7"/>
        <v>172.67700801073869</v>
      </c>
      <c r="X15" s="25">
        <f>+U15*1000/(Population!AM16*Population!X16)</f>
        <v>149.30223566442518</v>
      </c>
      <c r="Y15" s="25">
        <f>+resteconomy!Q15/(resteconomy!B15*Population!X16)</f>
        <v>164.98812018828633</v>
      </c>
      <c r="Z15" s="25">
        <f>+'Agricultural production'!AN16</f>
        <v>147.78434685359963</v>
      </c>
      <c r="AA15" s="25">
        <f>+Population!AM16*X15+Population!AL16*'incomeVOC and total income'!Z15+Population!AN16*'incomeVOC and total income'!Y15</f>
        <v>151.3158835380751</v>
      </c>
      <c r="AB15" s="25">
        <f>+(X15*100)/+'total economy'!L15</f>
        <v>120.55686566416423</v>
      </c>
      <c r="AC15" s="25"/>
      <c r="AD15" s="25"/>
    </row>
    <row r="16" spans="1:30" ht="15" x14ac:dyDescent="0.25">
      <c r="A16">
        <v>1714</v>
      </c>
      <c r="B16" s="82">
        <f>+C16*0.7</f>
        <v>66250.8</v>
      </c>
      <c r="C16" s="84">
        <f>+(C15+C17)/2</f>
        <v>94644</v>
      </c>
      <c r="D16" s="82">
        <f>+C16-B16</f>
        <v>28393.199999999997</v>
      </c>
      <c r="E16">
        <f>+'Wissel transfers from the Cape'!B15</f>
        <v>38534</v>
      </c>
      <c r="F16" s="25">
        <f t="shared" si="9"/>
        <v>10140.800000000003</v>
      </c>
      <c r="G16" s="34">
        <v>192.8975105245286</v>
      </c>
      <c r="H16" s="25">
        <f t="shared" si="4"/>
        <v>32810.135730309936</v>
      </c>
      <c r="I16" s="25">
        <f t="shared" si="5"/>
        <v>134165.04251682543</v>
      </c>
      <c r="J16" s="25">
        <v>158765.11905406928</v>
      </c>
      <c r="M16">
        <f>+'Company establishment'!B16</f>
        <v>654</v>
      </c>
      <c r="N16" s="25">
        <f t="shared" si="10"/>
        <v>144.71559633027522</v>
      </c>
      <c r="O16" s="25">
        <f t="shared" si="11"/>
        <v>205.14532494927437</v>
      </c>
      <c r="P16" s="25">
        <f t="shared" si="6"/>
        <v>141.62811690817955</v>
      </c>
      <c r="Q16" s="25">
        <v>467</v>
      </c>
      <c r="S16" s="52">
        <f>0.1*'Gross receipts from VOC sales'!B18+0.1*'Exports in money value'!B19</f>
        <v>8371.5768339768347</v>
      </c>
      <c r="U16" s="25">
        <f t="shared" si="7"/>
        <v>167.13669588804612</v>
      </c>
      <c r="X16" s="25">
        <f>+U16*1000/(Population!AM17*Population!X17)</f>
        <v>132.59928166323877</v>
      </c>
      <c r="Y16" s="25">
        <f>+resteconomy!Q16/(resteconomy!B16*Population!X17)</f>
        <v>280.26634398213469</v>
      </c>
      <c r="Z16" s="25">
        <f>+'Agricultural production'!AN17</f>
        <v>155.67362430025449</v>
      </c>
      <c r="AA16" s="25">
        <f>+Population!AM17*X16+Population!AL17*'incomeVOC and total income'!Z16+Population!AN17*'incomeVOC and total income'!Y16</f>
        <v>170.13638668702367</v>
      </c>
      <c r="AB16" s="25">
        <f>+(X16*100)/+'total economy'!L16</f>
        <v>106.87838932572869</v>
      </c>
      <c r="AC16" s="25"/>
      <c r="AD16" s="25"/>
    </row>
    <row r="17" spans="1:30" ht="15" x14ac:dyDescent="0.25">
      <c r="A17">
        <v>1715</v>
      </c>
      <c r="B17" s="82">
        <v>74289</v>
      </c>
      <c r="C17" s="82">
        <v>106500</v>
      </c>
      <c r="D17" s="82">
        <v>63639</v>
      </c>
      <c r="E17">
        <f>+'Wissel transfers from the Cape'!B16</f>
        <v>81654</v>
      </c>
      <c r="F17" s="25">
        <f t="shared" si="9"/>
        <v>18015</v>
      </c>
      <c r="G17" s="34">
        <v>161.60447911497482</v>
      </c>
      <c r="H17" s="25">
        <f t="shared" si="4"/>
        <v>30009.258280388043</v>
      </c>
      <c r="I17" s="25">
        <f t="shared" si="5"/>
        <v>147017.22119440744</v>
      </c>
      <c r="J17" s="25">
        <v>166302.58276577445</v>
      </c>
      <c r="M17">
        <f>+'Company establishment'!B17</f>
        <v>714</v>
      </c>
      <c r="N17" s="25">
        <f t="shared" si="10"/>
        <v>149.15966386554621</v>
      </c>
      <c r="O17" s="25">
        <f t="shared" si="11"/>
        <v>205.90647226107484</v>
      </c>
      <c r="P17" s="25">
        <f t="shared" si="6"/>
        <v>144.4853021422889</v>
      </c>
      <c r="Q17" s="25">
        <v>436.9999999999996</v>
      </c>
      <c r="S17" s="52">
        <f>0.1*'Gross receipts from VOC sales'!B19+0.1*'Exports in money value'!B20</f>
        <v>13580.52277992278</v>
      </c>
      <c r="U17" s="25">
        <f t="shared" si="7"/>
        <v>179.88310554569725</v>
      </c>
      <c r="X17" s="25">
        <f>+U17*1000/(Population!AM18*Population!X18)</f>
        <v>137.83553050016511</v>
      </c>
      <c r="Y17" s="25">
        <f>+resteconomy!Q17/(resteconomy!B17*Population!X18)</f>
        <v>210.19557111353504</v>
      </c>
      <c r="Z17" s="25">
        <f>+'Agricultural production'!AN18</f>
        <v>130.82234875640691</v>
      </c>
      <c r="AA17" s="25">
        <f>+Population!AM18*X17+Population!AL18*'incomeVOC and total income'!Z17+Population!AN18*'incomeVOC and total income'!Y17</f>
        <v>146.42424316001484</v>
      </c>
      <c r="AB17" s="25">
        <f>+(X17*100)/+'total economy'!L17</f>
        <v>127.37389429148939</v>
      </c>
      <c r="AC17" s="25"/>
      <c r="AD17" s="25"/>
    </row>
    <row r="18" spans="1:30" ht="15" x14ac:dyDescent="0.25">
      <c r="A18">
        <v>1716</v>
      </c>
      <c r="B18" s="82">
        <f t="shared" ref="B18:B24" si="12">+C18*0.7</f>
        <v>77943.599999999991</v>
      </c>
      <c r="C18" s="82">
        <v>111348</v>
      </c>
      <c r="D18" s="82">
        <f t="shared" ref="D18:D24" si="13">+C18-B18</f>
        <v>33404.400000000009</v>
      </c>
      <c r="E18">
        <f>+'Wissel transfers from the Cape'!B17</f>
        <v>77312</v>
      </c>
      <c r="F18" s="25">
        <f t="shared" si="9"/>
        <v>43907.599999999991</v>
      </c>
      <c r="G18" s="34">
        <v>166.95153768335106</v>
      </c>
      <c r="H18" s="25">
        <f t="shared" si="4"/>
        <v>30871.922832994176</v>
      </c>
      <c r="I18" s="25">
        <f t="shared" si="5"/>
        <v>165717.31897464389</v>
      </c>
      <c r="J18" s="25">
        <v>187274.95631846364</v>
      </c>
      <c r="M18">
        <f>+'Company establishment'!B18</f>
        <v>711</v>
      </c>
      <c r="N18" s="25">
        <f t="shared" si="10"/>
        <v>156.60759493670886</v>
      </c>
      <c r="O18" s="25">
        <f t="shared" si="11"/>
        <v>233.07639799527973</v>
      </c>
      <c r="P18" s="25">
        <f t="shared" si="6"/>
        <v>158.19227314713484</v>
      </c>
      <c r="Q18" s="25">
        <v>472.84389194710496</v>
      </c>
      <c r="S18" s="52">
        <f>0.1*'Gross receipts from VOC sales'!B20+0.1*'Exports in money value'!B21</f>
        <v>12274.579150579153</v>
      </c>
      <c r="U18" s="25">
        <f t="shared" si="7"/>
        <v>199.54953546904278</v>
      </c>
      <c r="X18" s="25">
        <f>+U18*1000/(Population!AM19*Population!X19)</f>
        <v>149.02177195462821</v>
      </c>
      <c r="Y18" s="25">
        <f>+resteconomy!Q18/(resteconomy!B18*Population!X19)</f>
        <v>201.01859139613478</v>
      </c>
      <c r="Z18" s="25">
        <f>+'Agricultural production'!AN19</f>
        <v>132.22308215864817</v>
      </c>
      <c r="AA18" s="25">
        <f>+Population!AM19*X18+Population!AL19*'incomeVOC and total income'!Z18+Population!AN19*'incomeVOC and total income'!Y18</f>
        <v>148.49062035080297</v>
      </c>
      <c r="AB18" s="25">
        <f>+(X18*100)/+'total economy'!L18</f>
        <v>138.79107463268247</v>
      </c>
      <c r="AC18" s="25"/>
      <c r="AD18" s="25"/>
    </row>
    <row r="19" spans="1:30" ht="15" x14ac:dyDescent="0.25">
      <c r="A19">
        <v>1717</v>
      </c>
      <c r="B19" s="82">
        <f t="shared" si="12"/>
        <v>77834.399999999994</v>
      </c>
      <c r="C19" s="82">
        <v>111192</v>
      </c>
      <c r="D19" s="82">
        <f t="shared" si="13"/>
        <v>33357.600000000006</v>
      </c>
      <c r="E19">
        <f>+'Wissel transfers from the Cape'!B18</f>
        <v>49689</v>
      </c>
      <c r="F19" s="25">
        <f t="shared" si="9"/>
        <v>16331.399999999994</v>
      </c>
      <c r="G19" s="34">
        <v>167.38992255603887</v>
      </c>
      <c r="H19" s="25">
        <f t="shared" si="4"/>
        <v>32389.623506292046</v>
      </c>
      <c r="I19" s="25">
        <f t="shared" si="5"/>
        <v>153366.80468160665</v>
      </c>
      <c r="J19" s="25">
        <v>176753.90578064212</v>
      </c>
      <c r="M19">
        <f>+'Company establishment'!B19</f>
        <v>744</v>
      </c>
      <c r="N19" s="25">
        <f t="shared" si="10"/>
        <v>149.45161290322579</v>
      </c>
      <c r="O19" s="25">
        <f t="shared" si="11"/>
        <v>206.1381783354928</v>
      </c>
      <c r="P19" s="25">
        <f t="shared" si="6"/>
        <v>140.76934786670813</v>
      </c>
      <c r="Q19" s="25">
        <v>511.62779439745003</v>
      </c>
      <c r="S19" s="52">
        <f>0.1*'Gross receipts from VOC sales'!B21+0.1*'Exports in money value'!B22</f>
        <v>12085.126254826257</v>
      </c>
      <c r="U19" s="25">
        <f t="shared" si="7"/>
        <v>188.83903203546839</v>
      </c>
      <c r="X19" s="25">
        <f>+U19*1000/(Population!AM20*Population!X20)</f>
        <v>132.98825685779184</v>
      </c>
      <c r="Y19" s="25">
        <f>+resteconomy!Q19/(resteconomy!B19*Population!X20)</f>
        <v>221.94418809557979</v>
      </c>
      <c r="Z19" s="25">
        <f>+'Agricultural production'!AN20</f>
        <v>137.81669840704791</v>
      </c>
      <c r="AA19" s="25">
        <f>+Population!AM20*X19+Population!AL20*'incomeVOC and total income'!Z19+Population!AN20*'incomeVOC and total income'!Y19</f>
        <v>151.33216146079479</v>
      </c>
      <c r="AB19" s="25">
        <f>+(X19*100)/+'total economy'!L19</f>
        <v>126.31743535004567</v>
      </c>
      <c r="AC19" s="25"/>
      <c r="AD19" s="25"/>
    </row>
    <row r="20" spans="1:30" ht="15" x14ac:dyDescent="0.25">
      <c r="A20">
        <v>1718</v>
      </c>
      <c r="B20" s="82">
        <f t="shared" si="12"/>
        <v>78657.599999999991</v>
      </c>
      <c r="C20" s="82">
        <v>112368</v>
      </c>
      <c r="D20" s="82">
        <f t="shared" si="13"/>
        <v>33710.400000000009</v>
      </c>
      <c r="E20">
        <f>+'Wissel transfers from the Cape'!B19</f>
        <v>206936</v>
      </c>
      <c r="F20" s="25">
        <f t="shared" si="9"/>
        <v>173225.59999999998</v>
      </c>
      <c r="G20" s="34">
        <v>167.06744978323127</v>
      </c>
      <c r="H20" s="25">
        <f t="shared" si="4"/>
        <v>32848.632519147679</v>
      </c>
      <c r="I20" s="25">
        <f t="shared" si="5"/>
        <v>233471.86414510506</v>
      </c>
      <c r="J20" s="25">
        <v>258728.4867163809</v>
      </c>
      <c r="M20">
        <f>+'Company establishment'!B20</f>
        <v>756</v>
      </c>
      <c r="N20" s="25">
        <f t="shared" si="10"/>
        <v>148.63492063492063</v>
      </c>
      <c r="O20" s="25">
        <f t="shared" si="11"/>
        <v>308.82521712315486</v>
      </c>
      <c r="P20" s="25">
        <f t="shared" si="6"/>
        <v>197.56406411006751</v>
      </c>
      <c r="Q20" s="25">
        <v>553.59285476247999</v>
      </c>
      <c r="S20" s="52">
        <f>0.1*'Gross receipts from VOC sales'!B22+0.1*'Exports in money value'!B23</f>
        <v>21252.808494208497</v>
      </c>
      <c r="U20" s="25">
        <f t="shared" si="7"/>
        <v>279.98129521058939</v>
      </c>
      <c r="X20" s="25">
        <f>+U20*1000/(Population!AM21*Population!X21)</f>
        <v>189.361573161557</v>
      </c>
      <c r="Y20" s="25">
        <f>+resteconomy!Q20/(resteconomy!B20*Population!X21)</f>
        <v>234.41359606814825</v>
      </c>
      <c r="Z20" s="25">
        <f>+'Agricultural production'!AN21</f>
        <v>181.93212228244749</v>
      </c>
      <c r="AA20" s="25">
        <f>+Population!AM21*X20+Population!AL21*'incomeVOC and total income'!Z20+Population!AN21*'incomeVOC and total income'!Y20</f>
        <v>192.66784114560076</v>
      </c>
      <c r="AB20" s="25">
        <f>+(X20*100)/+'total economy'!L20</f>
        <v>162.42890768258448</v>
      </c>
      <c r="AC20" s="25"/>
      <c r="AD20" s="25"/>
    </row>
    <row r="21" spans="1:30" ht="15" x14ac:dyDescent="0.25">
      <c r="A21">
        <v>1719</v>
      </c>
      <c r="B21" s="82">
        <f t="shared" si="12"/>
        <v>76776</v>
      </c>
      <c r="C21" s="82">
        <v>109680</v>
      </c>
      <c r="D21" s="82">
        <f t="shared" si="13"/>
        <v>32904</v>
      </c>
      <c r="E21">
        <f>+'Wissel transfers from the Cape'!B20</f>
        <v>39838</v>
      </c>
      <c r="F21" s="25">
        <f t="shared" si="9"/>
        <v>6934</v>
      </c>
      <c r="G21" s="34">
        <v>172.92599752092482</v>
      </c>
      <c r="H21" s="25">
        <f t="shared" si="4"/>
        <v>33101.049200364279</v>
      </c>
      <c r="I21" s="25">
        <f t="shared" si="5"/>
        <v>147903.1016603825</v>
      </c>
      <c r="J21" s="25">
        <v>176189.65722365573</v>
      </c>
      <c r="M21">
        <f>+'Company establishment'!B21</f>
        <v>736</v>
      </c>
      <c r="N21" s="25">
        <f t="shared" si="10"/>
        <v>149.02173913043478</v>
      </c>
      <c r="O21" s="25">
        <f t="shared" si="11"/>
        <v>200.95530116899795</v>
      </c>
      <c r="P21" s="25">
        <f t="shared" si="6"/>
        <v>131.97727132858114</v>
      </c>
      <c r="Q21" s="25">
        <v>598.99999999999932</v>
      </c>
      <c r="S21" s="52">
        <f>0.1*'Gross receipts from VOC sales'!B23+0.1*'Exports in money value'!B24</f>
        <v>4772.6015444015447</v>
      </c>
      <c r="U21" s="25">
        <f t="shared" si="7"/>
        <v>180.96225876805727</v>
      </c>
      <c r="X21" s="25">
        <f>+U21*1000/(Population!AM22*Population!X22)</f>
        <v>120.52642831611077</v>
      </c>
      <c r="Y21" s="25">
        <f>+resteconomy!Q21/(resteconomy!B21*Population!X22)</f>
        <v>144.34429424267526</v>
      </c>
      <c r="Z21" s="25">
        <f>+'Agricultural production'!AN22</f>
        <v>180.07924953251316</v>
      </c>
      <c r="AA21" s="25">
        <f>+Population!AM22*X21+Population!AL22*'incomeVOC and total income'!Z21+Population!AN22*'incomeVOC and total income'!Y21</f>
        <v>160.18273507586068</v>
      </c>
      <c r="AB21" s="25">
        <f>+(X21*100)/+'total economy'!L21</f>
        <v>99.036490532735641</v>
      </c>
      <c r="AC21" s="25"/>
      <c r="AD21" s="25"/>
    </row>
    <row r="22" spans="1:30" ht="15" x14ac:dyDescent="0.25">
      <c r="A22">
        <v>1720</v>
      </c>
      <c r="B22" s="82">
        <f t="shared" si="12"/>
        <v>83823.599999999991</v>
      </c>
      <c r="C22" s="82">
        <v>119748</v>
      </c>
      <c r="D22" s="82">
        <f t="shared" si="13"/>
        <v>35924.400000000009</v>
      </c>
      <c r="E22">
        <f>+'Wissel transfers from the Cape'!B21</f>
        <v>42691</v>
      </c>
      <c r="F22" s="25">
        <f t="shared" si="9"/>
        <v>6766.5999999999913</v>
      </c>
      <c r="G22" s="34">
        <v>173.33690662838444</v>
      </c>
      <c r="H22" s="25">
        <f t="shared" si="4"/>
        <v>36064.896047518218</v>
      </c>
      <c r="I22" s="25">
        <f t="shared" si="5"/>
        <v>160999.44084989413</v>
      </c>
      <c r="J22" s="25">
        <v>184383.01782470377</v>
      </c>
      <c r="M22">
        <f>+'Company establishment'!B22</f>
        <v>800</v>
      </c>
      <c r="N22" s="25">
        <f t="shared" si="10"/>
        <v>149.685</v>
      </c>
      <c r="O22" s="25">
        <f t="shared" si="11"/>
        <v>201.24930106236766</v>
      </c>
      <c r="P22" s="25">
        <f t="shared" si="6"/>
        <v>142.49074020456243</v>
      </c>
      <c r="Q22" s="25">
        <v>494</v>
      </c>
      <c r="S22" s="52">
        <f>0.1*'Gross receipts from VOC sales'!B24+0.1*'Exports in money value'!B25</f>
        <v>2565.9347490347491</v>
      </c>
      <c r="U22" s="25">
        <f t="shared" si="7"/>
        <v>186.94895257373852</v>
      </c>
      <c r="X22" s="25">
        <f>+U22*1000/(Population!AM23*Population!X23)</f>
        <v>126.57006634618888</v>
      </c>
      <c r="Y22" s="25">
        <f>+resteconomy!Q22/(resteconomy!B22*Population!X23)</f>
        <v>158.45151791642928</v>
      </c>
      <c r="Z22" s="25">
        <f>+'Agricultural production'!AN23</f>
        <v>221.38644250766802</v>
      </c>
      <c r="AA22" s="25">
        <f>+Population!AM23*X22+Population!AL23*'incomeVOC and total income'!Z22+Population!AN23*'incomeVOC and total income'!Y22</f>
        <v>188.77235667360108</v>
      </c>
      <c r="AB22" s="25">
        <f>+(X22*100)/+'total economy'!L22</f>
        <v>103.21228067819901</v>
      </c>
      <c r="AC22" s="25"/>
      <c r="AD22" s="25"/>
    </row>
    <row r="23" spans="1:30" ht="15" x14ac:dyDescent="0.25">
      <c r="A23">
        <v>1721</v>
      </c>
      <c r="B23" s="82">
        <f t="shared" si="12"/>
        <v>84252</v>
      </c>
      <c r="C23" s="82">
        <v>120360</v>
      </c>
      <c r="D23" s="82">
        <f t="shared" si="13"/>
        <v>36108</v>
      </c>
      <c r="E23">
        <f>+'Wissel transfers from the Cape'!B22</f>
        <v>21929</v>
      </c>
      <c r="F23" s="32">
        <v>0</v>
      </c>
      <c r="G23" s="34">
        <v>173.37384711466686</v>
      </c>
      <c r="H23" s="25">
        <f t="shared" si="4"/>
        <v>35802.03760963471</v>
      </c>
      <c r="I23" s="25">
        <f t="shared" si="5"/>
        <v>157952.13949011645</v>
      </c>
      <c r="J23" s="25">
        <v>182429.64089614945</v>
      </c>
      <c r="M23">
        <f>+'Company establishment'!B23</f>
        <v>794</v>
      </c>
      <c r="N23" s="25">
        <f t="shared" si="10"/>
        <v>151.58690176322418</v>
      </c>
      <c r="O23" s="25">
        <f t="shared" si="11"/>
        <v>198.93216560468065</v>
      </c>
      <c r="P23" s="25">
        <f t="shared" si="6"/>
        <v>139.15304416182261</v>
      </c>
      <c r="Q23" s="25">
        <v>517</v>
      </c>
      <c r="S23" s="52">
        <f>0.1*'Gross receipts from VOC sales'!B25+0.1*'Exports in money value'!B26</f>
        <v>1327.4861003861006</v>
      </c>
      <c r="U23" s="25">
        <f t="shared" si="7"/>
        <v>183.75712699653553</v>
      </c>
      <c r="X23" s="25">
        <f>+U23*1000/(Population!AM24*Population!X24)</f>
        <v>122.93008173798347</v>
      </c>
      <c r="Y23" s="25">
        <f>+resteconomy!Q23/(resteconomy!B23*Population!X24)</f>
        <v>165.50058609406753</v>
      </c>
      <c r="Z23" s="25">
        <f>+'Agricultural production'!AN24</f>
        <v>210.34759821516982</v>
      </c>
      <c r="AA23" s="25">
        <f>+Population!AM24*X23+Population!AL24*'incomeVOC and total income'!Z23+Population!AN24*'incomeVOC and total income'!Y23</f>
        <v>182.79817174492993</v>
      </c>
      <c r="AB23" s="25">
        <f>+(X23*100)/+'total economy'!L23</f>
        <v>103.93126362749381</v>
      </c>
      <c r="AC23" s="25"/>
      <c r="AD23" s="25"/>
    </row>
    <row r="24" spans="1:30" ht="15" x14ac:dyDescent="0.25">
      <c r="A24">
        <v>1722</v>
      </c>
      <c r="B24" s="82">
        <f t="shared" si="12"/>
        <v>82219.199999999997</v>
      </c>
      <c r="C24" s="82">
        <v>117456</v>
      </c>
      <c r="D24" s="82">
        <f t="shared" si="13"/>
        <v>35236.800000000003</v>
      </c>
      <c r="E24">
        <f>+'Wissel transfers from the Cape'!B23</f>
        <v>0</v>
      </c>
      <c r="F24" s="32">
        <v>0</v>
      </c>
      <c r="G24" s="34">
        <v>168.55660718510012</v>
      </c>
      <c r="H24" s="25">
        <f t="shared" si="4"/>
        <v>36429.269329211493</v>
      </c>
      <c r="I24" s="25">
        <f t="shared" si="5"/>
        <v>155706.73279567208</v>
      </c>
      <c r="J24" s="25">
        <v>180332.65583500368</v>
      </c>
      <c r="M24">
        <f>+'Company establishment'!B24</f>
        <v>831</v>
      </c>
      <c r="N24" s="25">
        <f t="shared" si="10"/>
        <v>141.34296028880865</v>
      </c>
      <c r="O24" s="25">
        <f t="shared" si="11"/>
        <v>187.37272297914811</v>
      </c>
      <c r="P24" s="25">
        <f t="shared" si="6"/>
        <v>132.01512140190607</v>
      </c>
      <c r="Q24" s="25">
        <f>+(Q23+Q25)/2</f>
        <v>535</v>
      </c>
      <c r="S24" s="52">
        <f>0.1*'Gross receipts from VOC sales'!B26+0.1*'Exports in money value'!B27</f>
        <v>4900</v>
      </c>
      <c r="U24" s="25">
        <f t="shared" si="7"/>
        <v>185.23265583500367</v>
      </c>
      <c r="X24" s="25">
        <f>+U24*1000/(Population!AM25*Population!X25)</f>
        <v>118.68976394171018</v>
      </c>
      <c r="Y24" s="25">
        <f>+resteconomy!Q24/(resteconomy!B24*Population!X25)</f>
        <v>156.97642513141221</v>
      </c>
      <c r="Z24" s="25">
        <f>+'Agricultural production'!AN25</f>
        <v>228.79637698226958</v>
      </c>
      <c r="AA24" s="25">
        <f>+Population!AM25*X24+Population!AL25*'incomeVOC and total income'!Z24+Population!AN25*'incomeVOC and total income'!Y24</f>
        <v>191.45803838608026</v>
      </c>
      <c r="AB24" s="25">
        <f>+(X24*100)/+'total economy'!L24</f>
        <v>98.116603269500303</v>
      </c>
      <c r="AC24" s="25"/>
      <c r="AD24" s="25"/>
    </row>
    <row r="25" spans="1:30" ht="15" x14ac:dyDescent="0.25">
      <c r="A25">
        <v>1723</v>
      </c>
      <c r="B25" s="82">
        <v>83665</v>
      </c>
      <c r="C25" s="82">
        <v>123504</v>
      </c>
      <c r="D25" s="82">
        <v>39839</v>
      </c>
      <c r="E25">
        <f>+'Wissel transfers from the Cape'!B24</f>
        <v>94078</v>
      </c>
      <c r="F25" s="25">
        <f t="shared" si="9"/>
        <v>54239</v>
      </c>
      <c r="G25" s="34">
        <v>167.38671344536979</v>
      </c>
      <c r="H25" s="25">
        <f t="shared" si="4"/>
        <v>35436.354940060075</v>
      </c>
      <c r="I25" s="25">
        <f t="shared" si="5"/>
        <v>187831.67268706308</v>
      </c>
      <c r="J25" s="25">
        <v>213109.46076562069</v>
      </c>
      <c r="M25">
        <f>+'Company establishment'!B25</f>
        <v>814</v>
      </c>
      <c r="N25" s="25">
        <f t="shared" si="10"/>
        <v>151.72481572481573</v>
      </c>
      <c r="O25" s="25">
        <f t="shared" si="11"/>
        <v>230.75144064749765</v>
      </c>
      <c r="P25" s="25">
        <f t="shared" si="6"/>
        <v>155.89572843132459</v>
      </c>
      <c r="Q25" s="25">
        <v>553</v>
      </c>
      <c r="S25" s="52">
        <f>0.1*'Gross receipts from VOC sales'!B27+0.1*'Exports in money value'!B28</f>
        <v>11609.856370656371</v>
      </c>
      <c r="U25" s="25">
        <f t="shared" si="7"/>
        <v>224.71931713627706</v>
      </c>
      <c r="X25" s="25">
        <f>+U25*1000/(Population!AM26*Population!X26)</f>
        <v>144.05883266679714</v>
      </c>
      <c r="Y25" s="25">
        <f>+resteconomy!Q25/(resteconomy!B25*Population!X26)</f>
        <v>161.53245896164384</v>
      </c>
      <c r="Z25" s="25">
        <f>+'Agricultural production'!AN26</f>
        <v>228.01478239751205</v>
      </c>
      <c r="AA25" s="25">
        <f>+Population!AM26*X25+Population!AL26*'incomeVOC and total income'!Z25+Population!AN26*'incomeVOC and total income'!Y25</f>
        <v>197.59838240843561</v>
      </c>
      <c r="AB25" s="25">
        <f>+(X25*100)/+'total economy'!L25</f>
        <v>122.11271843728255</v>
      </c>
      <c r="AC25" s="25"/>
      <c r="AD25" s="25"/>
    </row>
    <row r="26" spans="1:30" ht="15" x14ac:dyDescent="0.25">
      <c r="A26">
        <v>1724</v>
      </c>
      <c r="B26" s="82">
        <v>66562</v>
      </c>
      <c r="C26" s="82">
        <v>114972</v>
      </c>
      <c r="D26" s="82">
        <v>48410</v>
      </c>
      <c r="E26">
        <f>+'Wissel transfers from the Cape'!B25</f>
        <v>163828</v>
      </c>
      <c r="F26" s="25">
        <f t="shared" si="9"/>
        <v>115418</v>
      </c>
      <c r="G26" s="34">
        <v>167.43968300147671</v>
      </c>
      <c r="H26" s="25">
        <f t="shared" si="4"/>
        <v>36100.779507990686</v>
      </c>
      <c r="I26" s="25">
        <f t="shared" si="5"/>
        <v>210586.81848339021</v>
      </c>
      <c r="J26" s="25">
        <v>237107.17399649796</v>
      </c>
      <c r="M26">
        <f>+'Company establishment'!B26</f>
        <v>829</v>
      </c>
      <c r="N26" s="25">
        <f t="shared" si="10"/>
        <v>138.68757539203861</v>
      </c>
      <c r="O26" s="25">
        <f t="shared" si="11"/>
        <v>254.02511276645382</v>
      </c>
      <c r="P26" s="25">
        <f t="shared" si="6"/>
        <v>168.28046415649251</v>
      </c>
      <c r="Q26" s="25">
        <v>580</v>
      </c>
      <c r="S26" s="52">
        <f>0.1*'Gross receipts from VOC sales'!B28+0.1*'Exports in money value'!B29</f>
        <v>14451.362162162162</v>
      </c>
      <c r="U26" s="25">
        <f t="shared" si="7"/>
        <v>251.55853615866013</v>
      </c>
      <c r="X26" s="25">
        <f>+U26*1000/(Population!AM27*Population!X27)</f>
        <v>156.46262656269184</v>
      </c>
      <c r="Y26" s="25">
        <f>+resteconomy!Q26/(resteconomy!B26*Population!X27)</f>
        <v>178.4776028974417</v>
      </c>
      <c r="Z26" s="25">
        <f>+'Agricultural production'!AN27</f>
        <v>179.96226018620848</v>
      </c>
      <c r="AA26" s="25">
        <f>+Population!AM27*X26+Population!AL27*'incomeVOC and total income'!Z26+Population!AN27*'incomeVOC and total income'!Y26</f>
        <v>174.96726665549377</v>
      </c>
      <c r="AB26" s="25">
        <f>+(X26*100)/+'total economy'!L26</f>
        <v>148.9399381376914</v>
      </c>
      <c r="AC26" s="25"/>
      <c r="AD26" s="25"/>
    </row>
    <row r="27" spans="1:30" ht="15" x14ac:dyDescent="0.25">
      <c r="A27">
        <v>1725</v>
      </c>
      <c r="B27" s="82">
        <f t="shared" ref="B27" si="14">+C27*0.7</f>
        <v>64419.6</v>
      </c>
      <c r="C27" s="82">
        <v>92028</v>
      </c>
      <c r="D27" s="82">
        <f t="shared" ref="D27" si="15">+C27-B27</f>
        <v>27608.400000000001</v>
      </c>
      <c r="E27">
        <f>+'Wissel transfers from the Cape'!B26</f>
        <v>161148</v>
      </c>
      <c r="F27" s="25">
        <f t="shared" si="9"/>
        <v>133539.6</v>
      </c>
      <c r="G27" s="34">
        <v>163.4045113347884</v>
      </c>
      <c r="H27" s="25">
        <f t="shared" si="4"/>
        <v>31065.981218655477</v>
      </c>
      <c r="I27" s="25">
        <f t="shared" si="5"/>
        <v>191417.08027958823</v>
      </c>
      <c r="J27" s="25">
        <v>219172.47334922419</v>
      </c>
      <c r="M27">
        <f>+'Company establishment'!B27</f>
        <v>731</v>
      </c>
      <c r="N27" s="25">
        <f t="shared" si="10"/>
        <v>125.89329685362517</v>
      </c>
      <c r="O27" s="25">
        <f t="shared" si="11"/>
        <v>261.85647097070893</v>
      </c>
      <c r="P27" s="25">
        <f t="shared" si="6"/>
        <v>161.9900024754059</v>
      </c>
      <c r="Q27" s="25">
        <f>+(Q26+Q28)/2</f>
        <v>622</v>
      </c>
      <c r="S27" s="52">
        <f>0.1*'Gross receipts from VOC sales'!B29+0.1*'Exports in money value'!B30</f>
        <v>19195.115057915056</v>
      </c>
      <c r="U27" s="25">
        <f t="shared" si="7"/>
        <v>238.36758840713924</v>
      </c>
      <c r="X27" s="25">
        <f>+U27*1000/(Population!AM28*Population!X28)</f>
        <v>155.75960698127116</v>
      </c>
      <c r="Y27" s="25">
        <f>+resteconomy!Q27/(resteconomy!B27*Population!X28)</f>
        <v>137.05689013678111</v>
      </c>
      <c r="Z27" s="25">
        <f>+'Agricultural production'!AN28</f>
        <v>142.05930273073858</v>
      </c>
      <c r="AA27" s="25">
        <f>+Population!AM28*X27+Population!AL28*'incomeVOC and total income'!Z27+Population!AN28*'incomeVOC and total income'!Y27</f>
        <v>143.48393308200716</v>
      </c>
      <c r="AB27" s="25">
        <f>+(X27*100)/+'total economy'!L27</f>
        <v>148.37586182243788</v>
      </c>
      <c r="AC27" s="25"/>
      <c r="AD27" s="25"/>
    </row>
    <row r="28" spans="1:30" ht="15" x14ac:dyDescent="0.25">
      <c r="A28">
        <v>1726</v>
      </c>
      <c r="B28" s="82">
        <v>77651</v>
      </c>
      <c r="C28" s="82">
        <v>110484</v>
      </c>
      <c r="D28" s="82">
        <v>32833</v>
      </c>
      <c r="E28">
        <f>+'Wissel transfers from the Cape'!B27</f>
        <v>127365</v>
      </c>
      <c r="F28" s="25">
        <f t="shared" si="9"/>
        <v>94532</v>
      </c>
      <c r="G28" s="34">
        <v>163.01681335125264</v>
      </c>
      <c r="H28" s="25">
        <f t="shared" si="4"/>
        <v>33366.51030102362</v>
      </c>
      <c r="I28" s="25">
        <f t="shared" si="5"/>
        <v>192784.8358160748</v>
      </c>
      <c r="J28" s="25">
        <v>222344.08738135264</v>
      </c>
      <c r="M28">
        <f>+'Company establishment'!B28</f>
        <v>787</v>
      </c>
      <c r="N28" s="25">
        <f t="shared" si="10"/>
        <v>140.38627700127066</v>
      </c>
      <c r="O28" s="25">
        <f t="shared" si="11"/>
        <v>244.96167193910395</v>
      </c>
      <c r="P28" s="25">
        <f t="shared" si="6"/>
        <v>153.23507055916792</v>
      </c>
      <c r="Q28" s="25">
        <v>664</v>
      </c>
      <c r="S28" s="52">
        <f>0.1*'Gross receipts from VOC sales'!B30+0.1*'Exports in money value'!B31</f>
        <v>7425.5270270270266</v>
      </c>
      <c r="U28" s="25">
        <f t="shared" si="7"/>
        <v>229.76961440837965</v>
      </c>
      <c r="X28" s="25">
        <f>+U28*1000/(Population!AM29*Population!X29)</f>
        <v>139.74592266623438</v>
      </c>
      <c r="Y28" s="25">
        <f>+resteconomy!Q28/(resteconomy!B28*Population!X29)</f>
        <v>144.91358730916443</v>
      </c>
      <c r="Z28" s="25">
        <f>+'Agricultural production'!AN29</f>
        <v>125.64650280626627</v>
      </c>
      <c r="AA28" s="25">
        <f>+Population!AM29*X28+Population!AL29*'incomeVOC and total income'!Z28+Population!AN29*'incomeVOC and total income'!Y28</f>
        <v>132.44213486184003</v>
      </c>
      <c r="AB28" s="25">
        <f>+(X28*100)/+'total economy'!L28</f>
        <v>132.58405904170121</v>
      </c>
      <c r="AC28" s="25"/>
      <c r="AD28" s="25"/>
    </row>
    <row r="29" spans="1:30" ht="15" x14ac:dyDescent="0.25">
      <c r="A29">
        <v>1727</v>
      </c>
      <c r="B29" s="82">
        <v>85326</v>
      </c>
      <c r="C29" s="82">
        <v>117960</v>
      </c>
      <c r="D29" s="82">
        <v>32634</v>
      </c>
      <c r="E29">
        <f>+'Wissel transfers from the Cape'!B28</f>
        <v>162304</v>
      </c>
      <c r="F29" s="25">
        <f t="shared" si="9"/>
        <v>129670</v>
      </c>
      <c r="G29" s="34">
        <v>162.62911536771691</v>
      </c>
      <c r="H29" s="25">
        <f t="shared" si="4"/>
        <v>41492.629954676275</v>
      </c>
      <c r="I29" s="25">
        <f t="shared" si="5"/>
        <v>226362.26145241008</v>
      </c>
      <c r="J29" s="25">
        <v>257494.42279607928</v>
      </c>
      <c r="M29">
        <f>+'Company establishment'!B29</f>
        <v>981</v>
      </c>
      <c r="N29" s="25">
        <f t="shared" si="10"/>
        <v>120.24464831804282</v>
      </c>
      <c r="O29" s="25">
        <f t="shared" si="11"/>
        <v>230.74644388624881</v>
      </c>
      <c r="P29" s="25">
        <f t="shared" si="6"/>
        <v>153.0882418526036</v>
      </c>
      <c r="Q29" s="25">
        <v>701</v>
      </c>
      <c r="S29" s="52">
        <f>0.1*'Gross receipts from VOC sales'!B31+0.1*'Exports in money value'!B32</f>
        <v>9462.5111969111967</v>
      </c>
      <c r="U29" s="25">
        <f t="shared" si="7"/>
        <v>266.95693399299046</v>
      </c>
      <c r="X29" s="25">
        <f>+U29*1000/(Population!AM30*Population!X30)</f>
        <v>138.63132845738124</v>
      </c>
      <c r="Y29" s="25">
        <f>+resteconomy!Q29/(resteconomy!B29*Population!X30)</f>
        <v>135.27124083127609</v>
      </c>
      <c r="Z29" s="25">
        <f>+'Agricultural production'!AN30</f>
        <v>142.98206041837551</v>
      </c>
      <c r="AA29" s="25">
        <f>+Population!AM30*X29+Population!AL30*'incomeVOC and total income'!Z29+Population!AN30*'incomeVOC and total income'!Y29</f>
        <v>140.57962164376352</v>
      </c>
      <c r="AB29" s="25">
        <f>+(X29*100)/+'total economy'!L29</f>
        <v>129.11439516326905</v>
      </c>
      <c r="AC29" s="25"/>
      <c r="AD29" s="25"/>
    </row>
    <row r="30" spans="1:30" ht="15" x14ac:dyDescent="0.25">
      <c r="A30">
        <v>1728</v>
      </c>
      <c r="B30" s="82">
        <f>+C30*0.66</f>
        <v>77053.680000000008</v>
      </c>
      <c r="C30" s="82">
        <v>116748</v>
      </c>
      <c r="D30" s="82">
        <f t="shared" ref="D30:D39" si="16">+C30-B30</f>
        <v>39694.319999999992</v>
      </c>
      <c r="E30">
        <f>+'Wissel transfers from the Cape'!B29</f>
        <v>69218</v>
      </c>
      <c r="F30" s="25">
        <f t="shared" si="9"/>
        <v>29523.680000000008</v>
      </c>
      <c r="G30" s="34">
        <v>159.75817353667162</v>
      </c>
      <c r="H30" s="25">
        <f t="shared" si="4"/>
        <v>39098.164186738097</v>
      </c>
      <c r="I30" s="25">
        <f t="shared" si="5"/>
        <v>172562.912396075</v>
      </c>
      <c r="J30" s="25">
        <v>203210.92871726808</v>
      </c>
      <c r="M30">
        <f>+'Company establishment'!B30</f>
        <v>941</v>
      </c>
      <c r="N30" s="25">
        <f t="shared" si="10"/>
        <v>124.06801275239107</v>
      </c>
      <c r="O30" s="25">
        <f t="shared" si="11"/>
        <v>183.38247863557385</v>
      </c>
      <c r="P30" s="25">
        <f t="shared" si="6"/>
        <v>123.64522586995321</v>
      </c>
      <c r="Q30" s="25">
        <f>+(Q29+Q31)/2</f>
        <v>702.49999999999977</v>
      </c>
      <c r="S30" s="52">
        <f>0.1*'Gross receipts from VOC sales'!B32+0.1*'Exports in money value'!B33</f>
        <v>9180.4895752895754</v>
      </c>
      <c r="U30" s="25">
        <f t="shared" si="7"/>
        <v>212.39141829255766</v>
      </c>
      <c r="X30" s="25">
        <f>+U30*1000/(Population!AM31*Population!X31)</f>
        <v>112.97513847397518</v>
      </c>
      <c r="Y30" s="25">
        <f>+resteconomy!Q30/(resteconomy!B30*Population!X31)</f>
        <v>109.35539102452418</v>
      </c>
      <c r="Z30" s="25">
        <f>+'Agricultural production'!AN31</f>
        <v>140.02656624343427</v>
      </c>
      <c r="AA30" s="25">
        <f>+Population!AM31*X30+Population!AL31*'incomeVOC and total income'!Z30+Population!AN31*'incomeVOC and total income'!Y30</f>
        <v>128.40210717434621</v>
      </c>
      <c r="AB30" s="25">
        <f>+(X30*100)/+'total economy'!L30</f>
        <v>113.01916394003123</v>
      </c>
      <c r="AC30" s="25"/>
      <c r="AD30" s="25"/>
    </row>
    <row r="31" spans="1:30" ht="15" x14ac:dyDescent="0.25">
      <c r="A31">
        <v>1729</v>
      </c>
      <c r="B31" s="82">
        <v>89553</v>
      </c>
      <c r="C31" s="82">
        <v>110340</v>
      </c>
      <c r="D31" s="82">
        <v>20787</v>
      </c>
      <c r="E31">
        <f>+'Wissel transfers from the Cape'!B30</f>
        <v>47081</v>
      </c>
      <c r="F31" s="25">
        <f t="shared" si="9"/>
        <v>26294</v>
      </c>
      <c r="G31" s="34">
        <v>156.94181108856753</v>
      </c>
      <c r="H31" s="25">
        <f t="shared" si="4"/>
        <v>35225.171123389802</v>
      </c>
      <c r="I31" s="25">
        <f t="shared" si="5"/>
        <v>160473.42967955931</v>
      </c>
      <c r="J31" s="25">
        <v>190645.44183994137</v>
      </c>
      <c r="M31">
        <f>+'Company establishment'!B31</f>
        <v>863</v>
      </c>
      <c r="N31" s="25">
        <f t="shared" si="10"/>
        <v>127.85631517960603</v>
      </c>
      <c r="O31" s="25">
        <f t="shared" si="11"/>
        <v>185.9483542057466</v>
      </c>
      <c r="P31" s="25">
        <f t="shared" si="6"/>
        <v>121.66269421821406</v>
      </c>
      <c r="Q31" s="25">
        <v>703.99999999999966</v>
      </c>
      <c r="S31" s="52">
        <f>0.1*'Gross receipts from VOC sales'!B33+0.1*'Exports in money value'!B34</f>
        <v>10514.876833976834</v>
      </c>
      <c r="U31" s="25">
        <f t="shared" si="7"/>
        <v>201.1603186739182</v>
      </c>
      <c r="X31" s="25">
        <f>+U31*1000/(Population!AM32*Population!X32)</f>
        <v>112.60397619481822</v>
      </c>
      <c r="Y31" s="25">
        <f>+resteconomy!Q31/(resteconomy!B31*Population!X32)</f>
        <v>126.70555115104344</v>
      </c>
      <c r="Z31" s="25">
        <f>+'Agricultural production'!AN32</f>
        <v>146.50553004660787</v>
      </c>
      <c r="AA31" s="25">
        <f>+Population!AM32*X31+Population!AL32*'incomeVOC and total income'!Z31+Population!AN32*'incomeVOC and total income'!Y31</f>
        <v>135.84003107245582</v>
      </c>
      <c r="AB31" s="25">
        <f>+(X31*100)/+'total economy'!L31</f>
        <v>114.36914815020623</v>
      </c>
      <c r="AC31" s="25"/>
      <c r="AD31" s="25"/>
    </row>
    <row r="32" spans="1:30" ht="15" x14ac:dyDescent="0.25">
      <c r="A32">
        <v>1730</v>
      </c>
      <c r="B32" s="82">
        <f t="shared" ref="B32:B36" si="17">+C32*0.66</f>
        <v>80982</v>
      </c>
      <c r="C32" s="82">
        <v>122700</v>
      </c>
      <c r="D32" s="82">
        <f t="shared" si="16"/>
        <v>41718</v>
      </c>
      <c r="E32">
        <f>+'Wissel transfers from the Cape'!B31</f>
        <v>110044</v>
      </c>
      <c r="F32" s="25">
        <f t="shared" si="9"/>
        <v>68326</v>
      </c>
      <c r="G32" s="34">
        <v>158.55129859439799</v>
      </c>
      <c r="H32" s="25">
        <f t="shared" si="4"/>
        <v>37936.851679283784</v>
      </c>
      <c r="I32" s="25">
        <f t="shared" si="5"/>
        <v>196696.69426324798</v>
      </c>
      <c r="J32" s="25">
        <v>225851.13860039841</v>
      </c>
      <c r="M32">
        <f>+'Company establishment'!B32</f>
        <v>920</v>
      </c>
      <c r="N32" s="25">
        <f t="shared" si="10"/>
        <v>133.36956521739131</v>
      </c>
      <c r="O32" s="25">
        <f t="shared" si="11"/>
        <v>213.8007546339652</v>
      </c>
      <c r="P32" s="25">
        <f t="shared" si="6"/>
        <v>141.7459358031862</v>
      </c>
      <c r="Q32" s="25">
        <v>673.35177633588057</v>
      </c>
      <c r="S32" s="52">
        <f>0.1*'Gross receipts from VOC sales'!B34+0.1*'Exports in money value'!B35</f>
        <v>10300.692664092665</v>
      </c>
      <c r="U32" s="25">
        <f t="shared" si="7"/>
        <v>236.15183126449108</v>
      </c>
      <c r="X32" s="25">
        <f>+U32*1000/(Population!AM33*Population!X33)</f>
        <v>129.04143069648126</v>
      </c>
      <c r="Y32" s="25">
        <f>+resteconomy!Q32/(resteconomy!B32*Population!X33)</f>
        <v>136.55306687762729</v>
      </c>
      <c r="Z32" s="25">
        <f>+'Agricultural production'!AN33</f>
        <v>143.14351011302932</v>
      </c>
      <c r="AA32" s="25">
        <f>+Population!AM33*X32+Population!AL33*'incomeVOC and total income'!Z32+Population!AN33*'incomeVOC and total income'!Y32</f>
        <v>139.08721993187746</v>
      </c>
      <c r="AB32" s="25">
        <f>+(X32*100)/+'total economy'!L32</f>
        <v>125.51035969399022</v>
      </c>
      <c r="AC32" s="25"/>
      <c r="AD32" s="25"/>
    </row>
    <row r="33" spans="1:30" ht="15" x14ac:dyDescent="0.25">
      <c r="A33">
        <v>1731</v>
      </c>
      <c r="B33" s="82">
        <f t="shared" si="17"/>
        <v>85021.2</v>
      </c>
      <c r="C33" s="82">
        <v>128820</v>
      </c>
      <c r="D33" s="82">
        <f t="shared" si="16"/>
        <v>43798.8</v>
      </c>
      <c r="E33">
        <f>+'Wissel transfers from the Cape'!B32</f>
        <v>80039</v>
      </c>
      <c r="F33" s="25">
        <f t="shared" si="9"/>
        <v>36240.199999999997</v>
      </c>
      <c r="G33" s="34">
        <v>158.28841130875867</v>
      </c>
      <c r="H33" s="25">
        <f t="shared" si="4"/>
        <v>41167.337141419674</v>
      </c>
      <c r="I33" s="25">
        <f t="shared" si="5"/>
        <v>190165.80399849068</v>
      </c>
      <c r="J33" s="25">
        <v>218004.79151970404</v>
      </c>
      <c r="M33">
        <f>+'Company establishment'!B33</f>
        <v>1000</v>
      </c>
      <c r="N33" s="25">
        <f t="shared" si="10"/>
        <v>128.82</v>
      </c>
      <c r="O33" s="25">
        <f t="shared" si="11"/>
        <v>190.16580399849067</v>
      </c>
      <c r="P33" s="25">
        <f t="shared" si="6"/>
        <v>132.60327156799909</v>
      </c>
      <c r="Q33" s="25">
        <v>644.03780496404249</v>
      </c>
      <c r="S33" s="52">
        <f>0.1*'Gross receipts from VOC sales'!B35+0.1*'Exports in money value'!B36</f>
        <v>13990.366409266409</v>
      </c>
      <c r="U33" s="25">
        <f t="shared" si="7"/>
        <v>231.99515792897043</v>
      </c>
      <c r="X33" s="25">
        <f>+U33*1000/(Population!AM34*Population!X34)</f>
        <v>121.823760501743</v>
      </c>
      <c r="Y33" s="25">
        <f>+resteconomy!Q33/(resteconomy!B33*Population!X34)</f>
        <v>134.86216652118972</v>
      </c>
      <c r="Z33" s="25">
        <f>+'Agricultural production'!AN34</f>
        <v>146.00084962959215</v>
      </c>
      <c r="AA33" s="25">
        <f>+Population!AM34*X33+Population!AL34*'incomeVOC and total income'!Z33+Population!AN34*'incomeVOC and total income'!Y33</f>
        <v>139.09654799044071</v>
      </c>
      <c r="AB33" s="25">
        <f>+(X33*100)/+'total economy'!L33</f>
        <v>126.03092524033461</v>
      </c>
      <c r="AC33" s="25"/>
      <c r="AD33" s="25"/>
    </row>
    <row r="34" spans="1:30" ht="15" x14ac:dyDescent="0.25">
      <c r="A34">
        <v>1732</v>
      </c>
      <c r="B34" s="82">
        <v>79079</v>
      </c>
      <c r="C34" s="82">
        <v>129972</v>
      </c>
      <c r="D34" s="82">
        <v>50893</v>
      </c>
      <c r="E34">
        <f>+'Wissel transfers from the Cape'!B33</f>
        <v>114351</v>
      </c>
      <c r="F34" s="25">
        <f t="shared" si="9"/>
        <v>63458</v>
      </c>
      <c r="G34" s="34">
        <v>158.02139728034803</v>
      </c>
      <c r="H34" s="25">
        <f t="shared" si="4"/>
        <v>41755.458943259713</v>
      </c>
      <c r="I34" s="25">
        <f t="shared" si="5"/>
        <v>205544.2318904227</v>
      </c>
      <c r="J34" s="25">
        <v>232126.34886335611</v>
      </c>
      <c r="M34">
        <f>+'Company establishment'!B34</f>
        <v>1016</v>
      </c>
      <c r="N34" s="25">
        <f t="shared" si="10"/>
        <v>127.9251968503937</v>
      </c>
      <c r="O34" s="25">
        <f t="shared" si="11"/>
        <v>202.30731485277823</v>
      </c>
      <c r="P34" s="25">
        <f t="shared" si="6"/>
        <v>142.23428239176241</v>
      </c>
      <c r="Q34" s="25">
        <v>615.9999999999992</v>
      </c>
      <c r="S34" s="52">
        <f>0.1*'Gross receipts from VOC sales'!B36+0.1*'Exports in money value'!B37</f>
        <v>15731.795752895752</v>
      </c>
      <c r="U34" s="25">
        <f t="shared" si="7"/>
        <v>247.85814461625188</v>
      </c>
      <c r="X34" s="25">
        <f>+U34*1000/(Population!AM35*Population!X35)</f>
        <v>130.47921413646441</v>
      </c>
      <c r="Y34" s="25">
        <f>+resteconomy!Q34/(resteconomy!B34*Population!X35)</f>
        <v>113.66266627394619</v>
      </c>
      <c r="Z34" s="25">
        <f>+'Agricultural production'!AN35</f>
        <v>148.63153881634298</v>
      </c>
      <c r="AA34" s="25">
        <f>+Population!AM35*X34+Population!AL35*'incomeVOC and total income'!Z34+Population!AN35*'incomeVOC and total income'!Y34</f>
        <v>137.56441060516033</v>
      </c>
      <c r="AB34" s="25">
        <f>+(X34*100)/+'total economy'!L34</f>
        <v>131.50567375848377</v>
      </c>
      <c r="AC34" s="25"/>
      <c r="AD34" s="25"/>
    </row>
    <row r="35" spans="1:30" ht="15" x14ac:dyDescent="0.25">
      <c r="A35">
        <v>1733</v>
      </c>
      <c r="B35" s="82">
        <f t="shared" si="17"/>
        <v>83627.28</v>
      </c>
      <c r="C35" s="82">
        <v>126708</v>
      </c>
      <c r="D35" s="82">
        <f t="shared" si="16"/>
        <v>43080.72</v>
      </c>
      <c r="E35">
        <f>+'Wissel transfers from the Cape'!B34</f>
        <v>115724</v>
      </c>
      <c r="F35" s="25">
        <f t="shared" si="9"/>
        <v>72643.28</v>
      </c>
      <c r="G35" s="34">
        <v>157.76294034168717</v>
      </c>
      <c r="H35" s="25">
        <f t="shared" si="4"/>
        <v>35983.900826959594</v>
      </c>
      <c r="I35" s="25">
        <f t="shared" si="5"/>
        <v>200812.73586830759</v>
      </c>
      <c r="J35" s="25">
        <v>228819.60811558343</v>
      </c>
      <c r="M35">
        <f>+'Company establishment'!B35</f>
        <v>877</v>
      </c>
      <c r="N35" s="25">
        <f t="shared" si="10"/>
        <v>144.47890535917901</v>
      </c>
      <c r="O35" s="25">
        <f t="shared" si="11"/>
        <v>228.97689380650809</v>
      </c>
      <c r="P35" s="25">
        <f t="shared" si="6"/>
        <v>149.8412917771216</v>
      </c>
      <c r="Q35" s="25">
        <v>650.07978823311635</v>
      </c>
      <c r="S35" s="52">
        <f>0.1*'Gross receipts from VOC sales'!B37+0.1*'Exports in money value'!B38</f>
        <v>20991.843243243242</v>
      </c>
      <c r="U35" s="25">
        <f t="shared" si="7"/>
        <v>249.81145135882664</v>
      </c>
      <c r="X35" s="25">
        <f>+U35*1000/(Population!AM36*Population!X36)</f>
        <v>141.87434484915852</v>
      </c>
      <c r="Y35" s="25">
        <f>+resteconomy!Q35/(resteconomy!B35*Population!X36)</f>
        <v>86.305158307755093</v>
      </c>
      <c r="Z35" s="25">
        <f>+'Agricultural production'!AN36</f>
        <v>144.60750305771612</v>
      </c>
      <c r="AA35" s="25">
        <f>+Population!AM36*X35+Population!AL36*'incomeVOC and total income'!Z35+Population!AN36*'incomeVOC and total income'!Y35</f>
        <v>130.19337710800028</v>
      </c>
      <c r="AB35" s="25">
        <f>+(X35*100)/+'total economy'!L35</f>
        <v>138.63326390945343</v>
      </c>
      <c r="AC35" s="25"/>
      <c r="AD35" s="25"/>
    </row>
    <row r="36" spans="1:30" ht="15" x14ac:dyDescent="0.25">
      <c r="A36">
        <v>1734</v>
      </c>
      <c r="B36" s="82">
        <f t="shared" si="17"/>
        <v>97970.400000000009</v>
      </c>
      <c r="C36" s="82">
        <v>148440</v>
      </c>
      <c r="D36" s="82">
        <f t="shared" si="16"/>
        <v>50469.599999999991</v>
      </c>
      <c r="E36">
        <f>+'Wissel transfers from the Cape'!B35</f>
        <v>64203</v>
      </c>
      <c r="F36" s="25">
        <f t="shared" si="9"/>
        <v>13733.400000000009</v>
      </c>
      <c r="G36" s="34">
        <v>157.50005267606758</v>
      </c>
      <c r="H36" s="25">
        <f t="shared" si="4"/>
        <v>45550.08025378079</v>
      </c>
      <c r="I36" s="25">
        <f t="shared" si="5"/>
        <v>203134.28426646983</v>
      </c>
      <c r="J36" s="25">
        <v>232641.36691712472</v>
      </c>
      <c r="M36">
        <f>+'Company establishment'!B36</f>
        <v>1112</v>
      </c>
      <c r="N36" s="25">
        <f t="shared" si="10"/>
        <v>133.48920863309351</v>
      </c>
      <c r="O36" s="25">
        <f t="shared" si="11"/>
        <v>182.67471606696927</v>
      </c>
      <c r="P36" s="25">
        <f t="shared" si="6"/>
        <v>129.38572982996948</v>
      </c>
      <c r="Q36" s="25">
        <v>686.04501796950319</v>
      </c>
      <c r="S36" s="52">
        <f>0.1*'Gross receipts from VOC sales'!B38+0.1*'Exports in money value'!B39</f>
        <v>14943.109266409267</v>
      </c>
      <c r="U36" s="25">
        <f t="shared" si="7"/>
        <v>247.58447618353398</v>
      </c>
      <c r="X36" s="25">
        <f>+U36*1000/(Population!AM37*Population!X37)</f>
        <v>118.0164279024122</v>
      </c>
      <c r="Y36" s="25">
        <f>+resteconomy!Q36/(resteconomy!B36*Population!X37)</f>
        <v>78.315980432796238</v>
      </c>
      <c r="Z36" s="25">
        <f>+'Agricultural production'!AN37</f>
        <v>139.10795511244342</v>
      </c>
      <c r="AA36" s="25">
        <f>+Population!AM37*X36+Population!AL37*'incomeVOC and total income'!Z36+Population!AN37*'incomeVOC and total income'!Y36</f>
        <v>121.75433848597102</v>
      </c>
      <c r="AB36" s="25">
        <f>+(X36*100)/+'total economy'!L36</f>
        <v>111.00482348325582</v>
      </c>
      <c r="AC36" s="25"/>
      <c r="AD36" s="25"/>
    </row>
    <row r="37" spans="1:30" ht="15" x14ac:dyDescent="0.25">
      <c r="A37">
        <v>1735</v>
      </c>
      <c r="B37" s="82">
        <v>79471</v>
      </c>
      <c r="C37" s="82">
        <v>149520</v>
      </c>
      <c r="D37" s="82">
        <v>70049</v>
      </c>
      <c r="E37">
        <f>+'Wissel transfers from the Cape'!B36</f>
        <v>12371</v>
      </c>
      <c r="F37" s="32">
        <v>0</v>
      </c>
      <c r="G37" s="34">
        <v>157.23709752909585</v>
      </c>
      <c r="H37" s="25">
        <f t="shared" si="4"/>
        <v>43756.487478838113</v>
      </c>
      <c r="I37" s="25">
        <f t="shared" si="5"/>
        <v>195464.31185278003</v>
      </c>
      <c r="J37" s="25">
        <v>226551.86491952089</v>
      </c>
      <c r="M37">
        <f>+'Company establishment'!B37</f>
        <v>1070</v>
      </c>
      <c r="N37" s="25">
        <f t="shared" si="10"/>
        <v>139.73831775700936</v>
      </c>
      <c r="O37" s="25">
        <f t="shared" si="11"/>
        <v>182.67692696521499</v>
      </c>
      <c r="P37" s="25">
        <f t="shared" si="6"/>
        <v>126.28309081355683</v>
      </c>
      <c r="Q37" s="25">
        <v>723.99999999999966</v>
      </c>
      <c r="S37" s="52">
        <f>0.1*'Gross receipts from VOC sales'!B39+0.1*'Exports in money value'!B40</f>
        <v>721.24362934362944</v>
      </c>
      <c r="U37" s="25">
        <f t="shared" si="7"/>
        <v>227.27310854886451</v>
      </c>
      <c r="X37" s="25">
        <f>+U37*1000/(Population!AM38*Population!X38)</f>
        <v>108.95601507144667</v>
      </c>
      <c r="Y37" s="25">
        <f>+resteconomy!Q37/(resteconomy!B37*Population!X38)</f>
        <v>85.250148049401602</v>
      </c>
      <c r="Z37" s="25">
        <f>+'Agricultural production'!AN38</f>
        <v>130.80970123903037</v>
      </c>
      <c r="AA37" s="25">
        <f>+Population!AM38*X37+Population!AL38*'incomeVOC and total income'!Z37+Population!AN38*'incomeVOC and total income'!Y37</f>
        <v>116.51404355280272</v>
      </c>
      <c r="AB37" s="25">
        <f>+(X37*100)/+'total economy'!L37</f>
        <v>107.2041313065896</v>
      </c>
      <c r="AC37" s="25"/>
      <c r="AD37" s="25"/>
    </row>
    <row r="38" spans="1:30" ht="15" x14ac:dyDescent="0.25">
      <c r="A38">
        <v>1736</v>
      </c>
      <c r="B38" s="82">
        <f>+C38*0.69</f>
        <v>97298.28</v>
      </c>
      <c r="C38" s="82">
        <v>141012</v>
      </c>
      <c r="D38" s="82">
        <f t="shared" si="16"/>
        <v>43713.72</v>
      </c>
      <c r="E38">
        <f>+'Wissel transfers from the Cape'!B37</f>
        <v>157551</v>
      </c>
      <c r="F38" s="25">
        <f t="shared" si="9"/>
        <v>113837.28</v>
      </c>
      <c r="G38" s="34">
        <v>156.97486944680463</v>
      </c>
      <c r="H38" s="25">
        <f t="shared" si="4"/>
        <v>42254.613752260804</v>
      </c>
      <c r="I38" s="25">
        <f t="shared" si="5"/>
        <v>242297.98443987386</v>
      </c>
      <c r="J38" s="25">
        <v>272451.51407955744</v>
      </c>
      <c r="M38">
        <f>+'Company establishment'!B38</f>
        <v>1035</v>
      </c>
      <c r="N38" s="25">
        <f t="shared" si="10"/>
        <v>136.24347826086955</v>
      </c>
      <c r="O38" s="25">
        <f t="shared" si="11"/>
        <v>234.10433279214865</v>
      </c>
      <c r="P38" s="25">
        <f t="shared" si="6"/>
        <v>156.72358987809616</v>
      </c>
      <c r="Q38" s="25">
        <v>703.42058040833285</v>
      </c>
      <c r="S38" s="52">
        <f>0.1*'Gross receipts from VOC sales'!B40+0.1*'Exports in money value'!B41</f>
        <v>9185.4057915057911</v>
      </c>
      <c r="U38" s="25">
        <f t="shared" si="7"/>
        <v>281.63691987106318</v>
      </c>
      <c r="X38" s="25">
        <f>+U38*1000/(Population!AM39*Population!X39)</f>
        <v>139.14042767285002</v>
      </c>
      <c r="Y38" s="25">
        <f>+resteconomy!Q38/(resteconomy!B38*Population!X39)</f>
        <v>74.551959159634762</v>
      </c>
      <c r="Z38" s="25">
        <f>+'Agricultural production'!AN39</f>
        <v>115.2756082353297</v>
      </c>
      <c r="AA38" s="25">
        <f>+Population!AM39*X38+Population!AL39*'incomeVOC and total income'!Z38+Population!AN39*'incomeVOC and total income'!Y38</f>
        <v>109.344838295217</v>
      </c>
      <c r="AB38" s="25">
        <f>+(X38*100)/+'total economy'!L38</f>
        <v>135.15984180885033</v>
      </c>
      <c r="AC38" s="25"/>
      <c r="AD38" s="25"/>
    </row>
    <row r="39" spans="1:30" ht="15" x14ac:dyDescent="0.25">
      <c r="A39">
        <v>1737</v>
      </c>
      <c r="B39" s="82">
        <f t="shared" ref="B39" si="18">+C39*0.69</f>
        <v>131362.19999999998</v>
      </c>
      <c r="C39" s="82">
        <v>190380</v>
      </c>
      <c r="D39" s="82">
        <f t="shared" si="16"/>
        <v>59017.800000000017</v>
      </c>
      <c r="E39">
        <f>+'Wissel transfers from the Cape'!B38</f>
        <v>124733</v>
      </c>
      <c r="F39" s="25">
        <f t="shared" si="9"/>
        <v>65715.199999999983</v>
      </c>
      <c r="G39" s="34">
        <v>157.18955264122835</v>
      </c>
      <c r="H39" s="25">
        <f t="shared" si="4"/>
        <v>37161.327269408728</v>
      </c>
      <c r="I39" s="25">
        <f t="shared" si="5"/>
        <v>262256.99363287917</v>
      </c>
      <c r="J39" s="25">
        <v>291593.48747930484</v>
      </c>
      <c r="M39">
        <f>+'Company establishment'!B39</f>
        <v>909</v>
      </c>
      <c r="N39" s="25">
        <f t="shared" si="10"/>
        <v>209.43894389438944</v>
      </c>
      <c r="O39" s="25">
        <f t="shared" si="11"/>
        <v>288.51154415058215</v>
      </c>
      <c r="P39" s="25">
        <f t="shared" si="6"/>
        <v>183.1127254794016</v>
      </c>
      <c r="Q39" s="25">
        <v>683.4261228480608</v>
      </c>
      <c r="S39" s="52">
        <f>0.1*'Gross receipts from VOC sales'!B41+0.1*'Exports in money value'!B42</f>
        <v>15042.078378378379</v>
      </c>
      <c r="U39" s="25">
        <f t="shared" si="7"/>
        <v>306.63556585768322</v>
      </c>
      <c r="X39" s="25">
        <f>+U39*1000/(Population!AM40*Population!X40)</f>
        <v>166.0806160072533</v>
      </c>
      <c r="Y39" s="25">
        <f>+resteconomy!Q39/(resteconomy!B39*Population!X40)</f>
        <v>87.025748708752445</v>
      </c>
      <c r="Z39" s="25">
        <f>+'Agricultural production'!AN40</f>
        <v>112.07085821298655</v>
      </c>
      <c r="AA39" s="25">
        <f>+Population!AM40*X39+Population!AL40*'incomeVOC and total income'!Z39+Population!AN40*'incomeVOC and total income'!Y39</f>
        <v>113.69781734115237</v>
      </c>
      <c r="AB39" s="25">
        <f>+(X39*100)/+'total economy'!L39</f>
        <v>168.82979107534274</v>
      </c>
      <c r="AC39" s="25"/>
      <c r="AD39" s="25"/>
    </row>
    <row r="40" spans="1:30" ht="15" x14ac:dyDescent="0.25">
      <c r="A40">
        <v>1738</v>
      </c>
      <c r="B40" s="82">
        <v>129779</v>
      </c>
      <c r="C40" s="82">
        <v>134304</v>
      </c>
      <c r="D40" s="82">
        <v>4525</v>
      </c>
      <c r="E40">
        <f>+'Wissel transfers from the Cape'!B39</f>
        <v>146408</v>
      </c>
      <c r="F40" s="25">
        <f t="shared" si="9"/>
        <v>141883</v>
      </c>
      <c r="G40" s="34">
        <v>157.34565775358885</v>
      </c>
      <c r="H40" s="25">
        <f t="shared" si="4"/>
        <v>43459.320815165498</v>
      </c>
      <c r="I40" s="25">
        <f t="shared" si="5"/>
        <v>250877.78685592377</v>
      </c>
      <c r="J40" s="25">
        <v>279408.70820463693</v>
      </c>
      <c r="M40">
        <f>+'Company establishment'!B40</f>
        <v>1062</v>
      </c>
      <c r="N40" s="25">
        <f t="shared" si="10"/>
        <v>126.46327683615819</v>
      </c>
      <c r="O40" s="25">
        <f t="shared" si="11"/>
        <v>236.23143771744233</v>
      </c>
      <c r="P40" s="25">
        <f t="shared" si="6"/>
        <v>161.88221796328912</v>
      </c>
      <c r="Q40" s="25">
        <v>663.99999999999966</v>
      </c>
      <c r="S40" s="52">
        <f>0.1*'Gross receipts from VOC sales'!B42+0.1*'Exports in money value'!B43</f>
        <v>8535.7559845559863</v>
      </c>
      <c r="U40" s="25">
        <f t="shared" si="7"/>
        <v>287.9444641891929</v>
      </c>
      <c r="X40" s="25">
        <f>+U40*1000/(Population!AM41*Population!X41)</f>
        <v>142.11678065394227</v>
      </c>
      <c r="Y40" s="25">
        <f>+resteconomy!Q40/(resteconomy!B40*Population!X41)</f>
        <v>102.28206190382178</v>
      </c>
      <c r="Z40" s="25">
        <f>+'Agricultural production'!AN41</f>
        <v>105.74687679822485</v>
      </c>
      <c r="AA40" s="25">
        <f>+Population!AM41*X40+Population!AL41*'incomeVOC and total income'!Z40+Population!AN41*'incomeVOC and total income'!Y40</f>
        <v>110.77402934177321</v>
      </c>
      <c r="AB40" s="25">
        <f>+(X40*100)/+'total economy'!L40</f>
        <v>152.80261206363318</v>
      </c>
      <c r="AC40" s="25"/>
      <c r="AD40" s="25"/>
    </row>
    <row r="41" spans="1:30" ht="15" x14ac:dyDescent="0.25">
      <c r="A41">
        <v>1739</v>
      </c>
      <c r="B41" s="82">
        <v>114428</v>
      </c>
      <c r="C41" s="82">
        <v>149076</v>
      </c>
      <c r="D41" s="82">
        <v>34648</v>
      </c>
      <c r="E41">
        <f>+'Wissel transfers from the Cape'!B40</f>
        <v>169910</v>
      </c>
      <c r="F41" s="25">
        <f t="shared" si="9"/>
        <v>135262</v>
      </c>
      <c r="G41" s="34">
        <v>157.53039555044913</v>
      </c>
      <c r="H41" s="25">
        <f t="shared" si="4"/>
        <v>40191.7602171627</v>
      </c>
      <c r="I41" s="25">
        <f t="shared" si="5"/>
        <v>258908.34822802083</v>
      </c>
      <c r="J41" s="25">
        <v>287386.73000880552</v>
      </c>
      <c r="M41">
        <f>+'Company establishment'!B41</f>
        <v>981</v>
      </c>
      <c r="N41" s="25">
        <f t="shared" si="10"/>
        <v>151.96330275229357</v>
      </c>
      <c r="O41" s="25">
        <f t="shared" si="11"/>
        <v>263.92288300511808</v>
      </c>
      <c r="P41" s="25">
        <f t="shared" si="6"/>
        <v>174.91584297553592</v>
      </c>
      <c r="Q41" s="25">
        <v>662</v>
      </c>
      <c r="S41" s="52">
        <f>0.1*'Gross receipts from VOC sales'!B43+0.1*'Exports in money value'!B44</f>
        <v>9905.9498069498077</v>
      </c>
      <c r="U41" s="25">
        <f t="shared" si="7"/>
        <v>297.29267981575532</v>
      </c>
      <c r="X41" s="25">
        <f>+U41*1000/(Population!AM42*Population!X42)</f>
        <v>154.55875394258248</v>
      </c>
      <c r="Y41" s="25">
        <f>+resteconomy!Q41/(resteconomy!B41*Population!X42)</f>
        <v>82.628031613332112</v>
      </c>
      <c r="Z41" s="25">
        <f>+'Agricultural production'!AN42</f>
        <v>107.29663206212089</v>
      </c>
      <c r="AA41" s="25">
        <f>+Population!AM42*X41+Population!AL42*'incomeVOC and total income'!Z41+Population!AN42*'incomeVOC and total income'!Y41</f>
        <v>108.41130300513561</v>
      </c>
      <c r="AB41" s="25">
        <f>+(X41*100)/+'total economy'!L41</f>
        <v>160.47768956476395</v>
      </c>
      <c r="AC41" s="25"/>
      <c r="AD41" s="25"/>
    </row>
    <row r="42" spans="1:30" ht="15" x14ac:dyDescent="0.25">
      <c r="A42">
        <v>1740</v>
      </c>
      <c r="B42" s="82">
        <f>+C42*0.69</f>
        <v>108153.35999999999</v>
      </c>
      <c r="C42" s="84">
        <f>+(C41+C43)/2</f>
        <v>156744</v>
      </c>
      <c r="D42" s="82">
        <f t="shared" ref="D42" si="19">+C42-B42</f>
        <v>48590.640000000014</v>
      </c>
      <c r="E42">
        <f>+'Wissel transfers from the Cape'!B41</f>
        <v>92612</v>
      </c>
      <c r="F42" s="25">
        <f t="shared" si="9"/>
        <v>44021.359999999986</v>
      </c>
      <c r="G42" s="34">
        <v>157.72870503681384</v>
      </c>
      <c r="H42" s="25">
        <f t="shared" si="4"/>
        <v>46805.839388037602</v>
      </c>
      <c r="I42" s="25">
        <f t="shared" si="5"/>
        <v>227900.8113574395</v>
      </c>
      <c r="J42" s="25">
        <v>256070.46070692717</v>
      </c>
      <c r="M42">
        <f>+'Company establishment'!B42</f>
        <v>1141</v>
      </c>
      <c r="N42" s="25">
        <f t="shared" si="10"/>
        <v>137.37423312883436</v>
      </c>
      <c r="O42" s="25">
        <f t="shared" si="11"/>
        <v>199.73778383649386</v>
      </c>
      <c r="P42" s="25">
        <f t="shared" si="6"/>
        <v>142.65763827683966</v>
      </c>
      <c r="Q42" s="25">
        <v>654</v>
      </c>
      <c r="S42" s="52">
        <f>0.1*'Gross receipts from VOC sales'!B44+0.1*'Exports in money value'!B45</f>
        <v>5399.3868725868733</v>
      </c>
      <c r="U42" s="25">
        <f t="shared" si="7"/>
        <v>261.46984757951407</v>
      </c>
      <c r="X42" s="25">
        <f>+U42*1000/(Population!AM43*Population!X43)</f>
        <v>123.03938095783261</v>
      </c>
      <c r="Y42" s="25">
        <f>+resteconomy!Q42/(resteconomy!B42*Population!X43)</f>
        <v>91.05972378103354</v>
      </c>
      <c r="Z42" s="25">
        <f>+'Agricultural production'!AN43</f>
        <v>119.51444249286681</v>
      </c>
      <c r="AA42" s="25">
        <f>+Population!AM43*X42+Population!AL43*'incomeVOC and total income'!Z42+Population!AN43*'incomeVOC and total income'!Y42</f>
        <v>113.56368105923566</v>
      </c>
      <c r="AB42" s="25">
        <f>+(X42*100)/+'total economy'!L42</f>
        <v>127.67006511269051</v>
      </c>
      <c r="AC42" s="25"/>
      <c r="AD42" s="25"/>
    </row>
    <row r="43" spans="1:30" ht="15" x14ac:dyDescent="0.25">
      <c r="A43">
        <v>1741</v>
      </c>
      <c r="B43" s="82">
        <v>113868</v>
      </c>
      <c r="C43" s="82">
        <v>164412</v>
      </c>
      <c r="D43" s="82">
        <v>50544</v>
      </c>
      <c r="E43">
        <f>+'Wissel transfers from the Cape'!B42</f>
        <v>213969</v>
      </c>
      <c r="F43" s="25">
        <f t="shared" si="9"/>
        <v>163425</v>
      </c>
      <c r="G43" s="34">
        <v>157.90089633714209</v>
      </c>
      <c r="H43" s="25">
        <f t="shared" si="4"/>
        <v>48047.867025866377</v>
      </c>
      <c r="I43" s="25">
        <f t="shared" si="5"/>
        <v>296574.76037715969</v>
      </c>
      <c r="J43" s="25">
        <v>324128.36412160844</v>
      </c>
      <c r="M43">
        <f>+'Company establishment'!B43</f>
        <v>1170</v>
      </c>
      <c r="N43" s="25">
        <f t="shared" si="10"/>
        <v>140.52307692307693</v>
      </c>
      <c r="O43" s="25">
        <f t="shared" si="11"/>
        <v>253.48270117705957</v>
      </c>
      <c r="P43" s="25">
        <f t="shared" si="6"/>
        <v>179.17543621979459</v>
      </c>
      <c r="Q43" s="25">
        <v>639</v>
      </c>
      <c r="S43" s="52">
        <f>0.1*'Gross receipts from VOC sales'!B45+0.1*'Exports in money value'!B46</f>
        <v>39022.840540540543</v>
      </c>
      <c r="U43" s="25">
        <f t="shared" si="7"/>
        <v>363.15120466214898</v>
      </c>
      <c r="X43" s="25">
        <f>+U43*1000/(Population!AM44*Population!X44)</f>
        <v>168.79177872968415</v>
      </c>
      <c r="Y43" s="25">
        <f>+resteconomy!Q43/(resteconomy!B43*Population!X44)</f>
        <v>85.077570414480832</v>
      </c>
      <c r="Z43" s="25">
        <f>+'Agricultural production'!AN44</f>
        <v>143.8744086838864</v>
      </c>
      <c r="AA43" s="25">
        <f>+Population!AM44*X43+Population!AL44*'incomeVOC and total income'!Z43+Population!AN44*'incomeVOC and total income'!Y43</f>
        <v>133.75020860793944</v>
      </c>
      <c r="AB43" s="25">
        <f>+(X43*100)/+'total economy'!L43</f>
        <v>164.37294060771413</v>
      </c>
      <c r="AC43" s="25"/>
      <c r="AD43" s="25"/>
    </row>
    <row r="44" spans="1:30" ht="15" x14ac:dyDescent="0.25">
      <c r="A44">
        <v>1742</v>
      </c>
      <c r="B44" s="82">
        <v>119282</v>
      </c>
      <c r="C44" s="82">
        <v>169476</v>
      </c>
      <c r="D44" s="82">
        <v>50194</v>
      </c>
      <c r="E44">
        <f>+'Wissel transfers from the Cape'!B43</f>
        <v>224350</v>
      </c>
      <c r="F44" s="25">
        <f t="shared" si="9"/>
        <v>174156</v>
      </c>
      <c r="G44" s="34">
        <v>158.82311200663673</v>
      </c>
      <c r="H44" s="25">
        <f t="shared" si="4"/>
        <v>48039.344411890379</v>
      </c>
      <c r="I44" s="25">
        <f t="shared" si="5"/>
        <v>306995.3116324849</v>
      </c>
      <c r="J44" s="25">
        <v>333235.20289443963</v>
      </c>
      <c r="M44">
        <f>+'Company establishment'!B44</f>
        <v>1163</v>
      </c>
      <c r="N44" s="25">
        <f t="shared" si="10"/>
        <v>145.7231298366294</v>
      </c>
      <c r="O44" s="25">
        <f t="shared" si="11"/>
        <v>263.96845368227417</v>
      </c>
      <c r="P44" s="25">
        <f t="shared" si="6"/>
        <v>188.48144960092739</v>
      </c>
      <c r="Q44" s="25">
        <v>605</v>
      </c>
      <c r="S44" s="52">
        <f>0.1*'Gross receipts from VOC sales'!B46+0.1*'Exports in money value'!B47</f>
        <v>36520.064864864864</v>
      </c>
      <c r="U44" s="25">
        <f t="shared" si="7"/>
        <v>369.7552677593045</v>
      </c>
      <c r="X44" s="25">
        <f>+U44*1000/(Population!AM45*Population!X45)</f>
        <v>175.03684291113345</v>
      </c>
      <c r="Y44" s="25">
        <f>+resteconomy!Q44/(resteconomy!B44*Population!X45)</f>
        <v>89.54174252402818</v>
      </c>
      <c r="Z44" s="25">
        <f>+'Agricultural production'!AN45</f>
        <v>137.402823302077</v>
      </c>
      <c r="AA44" s="25">
        <f>+Population!AM45*X44+Population!AL45*'incomeVOC and total income'!Z44+Population!AN45*'incomeVOC and total income'!Y44</f>
        <v>132.65193131258613</v>
      </c>
      <c r="AB44" s="25">
        <f>+(X44*100)/+'total economy'!L44</f>
        <v>170.34112671048121</v>
      </c>
      <c r="AC44" s="25"/>
      <c r="AD44" s="25"/>
    </row>
    <row r="45" spans="1:30" ht="15" x14ac:dyDescent="0.25">
      <c r="A45">
        <v>1743</v>
      </c>
      <c r="B45" s="82">
        <v>119559</v>
      </c>
      <c r="C45" s="82">
        <v>161592</v>
      </c>
      <c r="D45" s="82">
        <v>42033</v>
      </c>
      <c r="E45">
        <f>+'Wissel transfers from the Cape'!B44</f>
        <v>236210</v>
      </c>
      <c r="F45" s="25">
        <f t="shared" si="9"/>
        <v>194177</v>
      </c>
      <c r="G45" s="34">
        <v>163.22673959893382</v>
      </c>
      <c r="H45" s="25">
        <f>2*M45*G45/8.04</f>
        <v>42633.849895243911</v>
      </c>
      <c r="I45" s="25">
        <f t="shared" si="5"/>
        <v>303446.04239000613</v>
      </c>
      <c r="J45" s="25">
        <v>327700.75458014949</v>
      </c>
      <c r="M45">
        <f>+'Company establishment'!B45</f>
        <v>1050</v>
      </c>
      <c r="N45" s="25">
        <f t="shared" si="10"/>
        <v>153.89714285714285</v>
      </c>
      <c r="O45" s="25">
        <f t="shared" si="11"/>
        <v>288.99623084762487</v>
      </c>
      <c r="P45" s="25">
        <f t="shared" si="6"/>
        <v>189.42240149141588</v>
      </c>
      <c r="Q45" s="25">
        <v>680</v>
      </c>
      <c r="S45" s="52">
        <f>0.1*'Gross receipts from VOC sales'!B47+0.1*'Exports in money value'!B48</f>
        <v>28068.116602316608</v>
      </c>
      <c r="U45" s="25">
        <f t="shared" si="7"/>
        <v>355.76887118246611</v>
      </c>
      <c r="X45" s="25">
        <f>+U45*1000/(Population!AM46*Population!X46)</f>
        <v>174.00030312269951</v>
      </c>
      <c r="Y45" s="25">
        <f>+resteconomy!Q45/(resteconomy!B45*Population!X46)</f>
        <v>115.77157739967203</v>
      </c>
      <c r="Z45" s="25">
        <f>+'Agricultural production'!AN46</f>
        <v>136.95780492699768</v>
      </c>
      <c r="AA45" s="25">
        <f>+Population!AM46*X45+Population!AL46*'incomeVOC and total income'!Z45+Population!AN46*'incomeVOC and total income'!Y45</f>
        <v>138.33011678066887</v>
      </c>
      <c r="AB45" s="25">
        <f>+(X45*100)/+'total economy'!L45</f>
        <v>179.94939191359956</v>
      </c>
      <c r="AC45" s="25"/>
      <c r="AD45" s="25"/>
    </row>
    <row r="46" spans="1:30" ht="15" x14ac:dyDescent="0.25">
      <c r="A46">
        <v>1744</v>
      </c>
      <c r="B46" s="82">
        <v>98628</v>
      </c>
      <c r="C46" s="82">
        <v>173328</v>
      </c>
      <c r="D46" s="82">
        <v>74700</v>
      </c>
      <c r="E46">
        <f>+'Wissel transfers from the Cape'!B45</f>
        <v>160047</v>
      </c>
      <c r="F46" s="25">
        <f t="shared" si="9"/>
        <v>85347</v>
      </c>
      <c r="G46" s="34">
        <v>143.83709870099969</v>
      </c>
      <c r="H46" s="25">
        <f t="shared" ref="H46:H70" si="20">2*M46*G46/8.04</f>
        <v>38964.825991390215</v>
      </c>
      <c r="I46" s="25">
        <f t="shared" si="5"/>
        <v>256914.56729095973</v>
      </c>
      <c r="J46" s="25">
        <v>285091.61087977496</v>
      </c>
      <c r="M46">
        <f>+'Company establishment'!B46</f>
        <v>1089</v>
      </c>
      <c r="N46" s="25">
        <f t="shared" si="10"/>
        <v>159.1625344352617</v>
      </c>
      <c r="O46" s="25">
        <f t="shared" si="11"/>
        <v>235.9178763002385</v>
      </c>
      <c r="P46" s="25">
        <f t="shared" si="6"/>
        <v>155.02534577475529</v>
      </c>
      <c r="Q46" s="25">
        <v>750</v>
      </c>
      <c r="S46" s="52">
        <f>0.1*'Gross receipts from VOC sales'!B48+0.1*'Exports in money value'!B49</f>
        <v>17490.125482625481</v>
      </c>
      <c r="U46" s="25">
        <f t="shared" si="7"/>
        <v>302.58173636240048</v>
      </c>
      <c r="X46" s="25">
        <f>+U46*1000/(Population!AM47*Population!X47)</f>
        <v>139.49112820791657</v>
      </c>
      <c r="Y46" s="25">
        <f>+resteconomy!Q46/(resteconomy!B46*Population!X47)</f>
        <v>118.54567193541028</v>
      </c>
      <c r="Z46" s="25">
        <f>+'Agricultural production'!AN47</f>
        <v>113.1563656545176</v>
      </c>
      <c r="AA46" s="25">
        <f>+Population!AM47*X46+Population!AL47*'incomeVOC and total income'!Z46+Population!AN47*'incomeVOC and total income'!Y46</f>
        <v>119.0672659665851</v>
      </c>
      <c r="AB46" s="25">
        <f>+(X46*100)/+'total economy'!L46</f>
        <v>160.7508453037114</v>
      </c>
      <c r="AC46" s="25"/>
      <c r="AD46" s="25"/>
    </row>
    <row r="47" spans="1:30" ht="15" x14ac:dyDescent="0.25">
      <c r="A47">
        <v>1745</v>
      </c>
      <c r="B47" s="82">
        <v>131742</v>
      </c>
      <c r="C47" s="82">
        <v>171600</v>
      </c>
      <c r="D47" s="82">
        <v>39858</v>
      </c>
      <c r="E47">
        <f>+'Wissel transfers from the Cape'!B46</f>
        <v>178228</v>
      </c>
      <c r="F47" s="25">
        <f t="shared" si="9"/>
        <v>138370</v>
      </c>
      <c r="G47" s="34">
        <v>131.61430538177905</v>
      </c>
      <c r="H47" s="25">
        <f t="shared" si="20"/>
        <v>39418.811860612434</v>
      </c>
      <c r="I47" s="25">
        <f t="shared" si="5"/>
        <v>282174.75245364307</v>
      </c>
      <c r="J47" s="25">
        <v>310363.78651675547</v>
      </c>
      <c r="M47">
        <f>+'Company establishment'!B47</f>
        <v>1204</v>
      </c>
      <c r="N47" s="25">
        <f t="shared" si="10"/>
        <v>142.52491694352159</v>
      </c>
      <c r="O47" s="25">
        <f t="shared" si="11"/>
        <v>234.36441233691286</v>
      </c>
      <c r="P47" s="25">
        <f t="shared" si="6"/>
        <v>153.34179175729025</v>
      </c>
      <c r="Q47" s="25">
        <v>820</v>
      </c>
      <c r="S47" s="52">
        <f>0.1*'Gross receipts from VOC sales'!B49+0.1*'Exports in money value'!B50</f>
        <v>24480.498841698842</v>
      </c>
      <c r="U47" s="25">
        <f t="shared" si="7"/>
        <v>334.84428535845433</v>
      </c>
      <c r="X47" s="25">
        <f>+U47*1000/(Population!AM48*Population!X48)</f>
        <v>139.90563947107142</v>
      </c>
      <c r="Y47" s="25">
        <f>+resteconomy!Q47/(resteconomy!B47*Population!X48)</f>
        <v>118.10882587616132</v>
      </c>
      <c r="Z47" s="25">
        <f>+'Agricultural production'!AN48</f>
        <v>105.60063273303626</v>
      </c>
      <c r="AA47" s="25">
        <f>+Population!AM48*X47+Population!AL48*'incomeVOC and total income'!Z47+Population!AN48*'incomeVOC and total income'!Y47</f>
        <v>114.85590736132535</v>
      </c>
      <c r="AB47" s="25">
        <f>+(X47*100)/+'total economy'!L47</f>
        <v>173.95685250353409</v>
      </c>
      <c r="AC47" s="25"/>
      <c r="AD47" s="25"/>
    </row>
    <row r="48" spans="1:30" ht="15" x14ac:dyDescent="0.25">
      <c r="A48">
        <v>1746</v>
      </c>
      <c r="B48" s="82">
        <v>98628</v>
      </c>
      <c r="C48" s="82">
        <v>204072</v>
      </c>
      <c r="D48" s="82">
        <v>105444</v>
      </c>
      <c r="E48">
        <f>+'Wissel transfers from the Cape'!B47</f>
        <v>232512</v>
      </c>
      <c r="F48" s="25">
        <f t="shared" si="9"/>
        <v>127068</v>
      </c>
      <c r="G48" s="34">
        <v>140.83939535109857</v>
      </c>
      <c r="H48" s="25">
        <f t="shared" si="20"/>
        <v>41866.437175264386</v>
      </c>
      <c r="I48" s="25">
        <f t="shared" si="5"/>
        <v>311565.75903402758</v>
      </c>
      <c r="J48" s="25">
        <v>341914.54665166169</v>
      </c>
      <c r="M48">
        <f>+'Company establishment'!B48</f>
        <v>1195</v>
      </c>
      <c r="N48" s="25">
        <f t="shared" si="10"/>
        <v>170.77154811715482</v>
      </c>
      <c r="O48" s="25">
        <f t="shared" si="11"/>
        <v>260.7244845473034</v>
      </c>
      <c r="P48" s="25">
        <f t="shared" si="6"/>
        <v>169.26462705527805</v>
      </c>
      <c r="Q48" s="25">
        <v>825</v>
      </c>
      <c r="S48" s="52">
        <f>0.1*'Gross receipts from VOC sales'!B50+0.1*'Exports in money value'!B51</f>
        <v>38031.91891891892</v>
      </c>
      <c r="U48" s="25">
        <f t="shared" si="7"/>
        <v>379.94646557058064</v>
      </c>
      <c r="X48" s="25">
        <f>+U48*1000/(Population!AM49*Population!X49)</f>
        <v>158.91205316765829</v>
      </c>
      <c r="Y48" s="25">
        <f>+resteconomy!Q48/(resteconomy!B48*Population!X49)</f>
        <v>114.13123166627895</v>
      </c>
      <c r="Z48" s="25">
        <f>+'Agricultural production'!AN49</f>
        <v>121.12945850789535</v>
      </c>
      <c r="AA48" s="25">
        <f>+Population!AM49*X48+Population!AL49*'incomeVOC and total income'!Z48+Population!AN49*'incomeVOC and total income'!Y48</f>
        <v>126.8432192448572</v>
      </c>
      <c r="AB48" s="25">
        <f>+(X48*100)/+'total economy'!L48</f>
        <v>179.83862870587896</v>
      </c>
      <c r="AC48" s="25"/>
      <c r="AD48" s="25"/>
    </row>
    <row r="49" spans="1:30" ht="15" x14ac:dyDescent="0.25">
      <c r="A49">
        <v>1747</v>
      </c>
      <c r="B49" s="82">
        <v>128587</v>
      </c>
      <c r="C49" s="82">
        <v>189060</v>
      </c>
      <c r="D49" s="82">
        <v>60473</v>
      </c>
      <c r="E49">
        <f>+'Wissel transfers from the Cape'!B48</f>
        <v>302302</v>
      </c>
      <c r="F49" s="25">
        <f t="shared" si="9"/>
        <v>241829</v>
      </c>
      <c r="G49" s="34">
        <v>142.18202605584409</v>
      </c>
      <c r="H49" s="25">
        <f t="shared" si="20"/>
        <v>46615.898094926008</v>
      </c>
      <c r="I49" s="25">
        <f t="shared" si="5"/>
        <v>358921.19299967232</v>
      </c>
      <c r="J49" s="25">
        <v>388668.00718232599</v>
      </c>
      <c r="M49">
        <f>+'Company establishment'!B49</f>
        <v>1318</v>
      </c>
      <c r="N49" s="25">
        <f t="shared" si="10"/>
        <v>143.44461305007587</v>
      </c>
      <c r="O49" s="25">
        <f t="shared" si="11"/>
        <v>272.32260470384847</v>
      </c>
      <c r="P49" s="25">
        <f t="shared" si="6"/>
        <v>183.42048474862011</v>
      </c>
      <c r="Q49" s="25">
        <v>801</v>
      </c>
      <c r="S49" s="52">
        <f>0.1*'Gross receipts from VOC sales'!B51+0.1*'Exports in money value'!B52</f>
        <v>32335.75675675676</v>
      </c>
      <c r="U49" s="25">
        <f t="shared" si="7"/>
        <v>421.00376393908272</v>
      </c>
      <c r="X49" s="25">
        <f>+U49*1000/(Population!AM50*Population!X50)</f>
        <v>166.21222702759928</v>
      </c>
      <c r="Y49" s="25">
        <f>+resteconomy!Q49/(resteconomy!B49*Population!X50)</f>
        <v>150.37197270866497</v>
      </c>
      <c r="Z49" s="25">
        <f>+'Agricultural production'!AN50</f>
        <v>121.47730238180544</v>
      </c>
      <c r="AA49" s="25">
        <f>+Population!AM50*X49+Population!AL50*'incomeVOC and total income'!Z49+Population!AN50*'incomeVOC and total income'!Y49</f>
        <v>136.2409413782988</v>
      </c>
      <c r="AB49" s="25">
        <f>+(X49*100)/+'total economy'!L49</f>
        <v>188.47171037988167</v>
      </c>
      <c r="AC49" s="25"/>
      <c r="AD49" s="25"/>
    </row>
    <row r="50" spans="1:30" ht="15" x14ac:dyDescent="0.25">
      <c r="A50">
        <v>1748</v>
      </c>
      <c r="B50" s="82">
        <v>137950</v>
      </c>
      <c r="C50" s="82">
        <v>201108</v>
      </c>
      <c r="D50" s="82">
        <v>63158</v>
      </c>
      <c r="E50">
        <f>+'Wissel transfers from the Cape'!B49</f>
        <v>258690</v>
      </c>
      <c r="F50" s="25">
        <f t="shared" si="9"/>
        <v>195532</v>
      </c>
      <c r="G50" s="34">
        <v>140.82903879183999</v>
      </c>
      <c r="H50" s="25">
        <f t="shared" si="20"/>
        <v>47398.43022023869</v>
      </c>
      <c r="I50" s="25">
        <f t="shared" si="5"/>
        <v>348642.35173125064</v>
      </c>
      <c r="J50" s="25">
        <v>379246.39359407441</v>
      </c>
      <c r="M50">
        <f>+'Company establishment'!B50</f>
        <v>1353</v>
      </c>
      <c r="N50" s="25">
        <f t="shared" si="10"/>
        <v>148.63858093126385</v>
      </c>
      <c r="O50" s="25">
        <f t="shared" si="11"/>
        <v>257.6809694983375</v>
      </c>
      <c r="P50" s="25">
        <f t="shared" si="6"/>
        <v>173.56814352131553</v>
      </c>
      <c r="Q50" s="25">
        <v>832</v>
      </c>
      <c r="S50" s="52">
        <f>0.1*'Gross receipts from VOC sales'!B52+0.1*'Exports in money value'!B53</f>
        <v>24095.800000000003</v>
      </c>
      <c r="U50" s="25">
        <f t="shared" si="7"/>
        <v>403.34219359407439</v>
      </c>
      <c r="X50" s="25">
        <f>+U50*1000/(Population!AM51*Population!X51)</f>
        <v>154.24558621345258</v>
      </c>
      <c r="Y50" s="25">
        <f>+resteconomy!Q50/(resteconomy!B50*Population!X51)</f>
        <v>130.96966354912786</v>
      </c>
      <c r="Z50" s="25">
        <f>+'Agricultural production'!AN51</f>
        <v>111.17105468234503</v>
      </c>
      <c r="AA50" s="25">
        <f>+Population!AM51*X50+Population!AL51*'incomeVOC and total income'!Z50+Population!AN51*'incomeVOC and total income'!Y50</f>
        <v>123.79450567256066</v>
      </c>
      <c r="AB50" s="25">
        <f>+(X50*100)/+'total economy'!L50</f>
        <v>173.51237561270938</v>
      </c>
      <c r="AC50" s="25"/>
      <c r="AD50" s="25"/>
    </row>
    <row r="51" spans="1:30" ht="15" x14ac:dyDescent="0.25">
      <c r="A51">
        <v>1749</v>
      </c>
      <c r="B51" s="82">
        <v>131670</v>
      </c>
      <c r="C51" s="82">
        <v>169728</v>
      </c>
      <c r="D51" s="82">
        <v>38058</v>
      </c>
      <c r="E51">
        <f>+'Wissel transfers from the Cape'!B50</f>
        <v>154794</v>
      </c>
      <c r="F51" s="25">
        <f t="shared" si="9"/>
        <v>116736</v>
      </c>
      <c r="G51" s="34">
        <v>142.00979900405122</v>
      </c>
      <c r="H51" s="25">
        <f t="shared" si="20"/>
        <v>37692.650631174794</v>
      </c>
      <c r="I51" s="25">
        <f t="shared" si="5"/>
        <v>267673.28316273354</v>
      </c>
      <c r="J51" s="25">
        <v>296827.68294334138</v>
      </c>
      <c r="M51">
        <f>+'Company establishment'!B51</f>
        <v>1067</v>
      </c>
      <c r="N51" s="25">
        <f t="shared" si="10"/>
        <v>159.07029053420806</v>
      </c>
      <c r="O51" s="25">
        <f t="shared" si="11"/>
        <v>250.86530755645131</v>
      </c>
      <c r="P51" s="25">
        <f t="shared" si="6"/>
        <v>160.18763245728084</v>
      </c>
      <c r="Q51" s="25">
        <v>786</v>
      </c>
      <c r="S51" s="25">
        <f>0.1*'Gross receipts from VOC sales'!B53+0.1*'Exports in money value'!B54</f>
        <v>18473.800000000003</v>
      </c>
      <c r="U51" s="25">
        <f t="shared" si="7"/>
        <v>315.30148294334134</v>
      </c>
      <c r="X51" s="25">
        <f>+U51*1000/(Population!AM52*Population!X52)</f>
        <v>143.57629253318993</v>
      </c>
      <c r="Y51" s="25">
        <f>+resteconomy!Q51/(resteconomy!B51*Population!X52)</f>
        <v>115.41912208199543</v>
      </c>
      <c r="Z51" s="25">
        <f>+'Agricultural production'!AN52</f>
        <v>127.24619436097576</v>
      </c>
      <c r="AA51" s="25">
        <f>+Population!AM52*X51+Population!AL52*'incomeVOC and total income'!Z51+Population!AN52*'incomeVOC and total income'!Y51</f>
        <v>127.16005334493084</v>
      </c>
      <c r="AB51" s="25">
        <f>+(X51*100)/+'total economy'!L51</f>
        <v>158.7715858334368</v>
      </c>
      <c r="AC51" s="25"/>
      <c r="AD51" s="25"/>
    </row>
    <row r="52" spans="1:30" ht="15" x14ac:dyDescent="0.25">
      <c r="A52">
        <v>1750</v>
      </c>
      <c r="B52" s="82">
        <v>131000</v>
      </c>
      <c r="C52" s="82">
        <v>197880</v>
      </c>
      <c r="D52" s="82">
        <v>66880</v>
      </c>
      <c r="E52">
        <f>+'Wissel transfers from the Cape'!B51</f>
        <v>253193</v>
      </c>
      <c r="F52" s="25">
        <f t="shared" si="9"/>
        <v>186313</v>
      </c>
      <c r="G52" s="34">
        <v>165.51026257305602</v>
      </c>
      <c r="H52" s="25">
        <f t="shared" si="20"/>
        <v>54799.542160382487</v>
      </c>
      <c r="I52" s="25">
        <f t="shared" si="5"/>
        <v>348576.01926840161</v>
      </c>
      <c r="J52" s="25">
        <v>379355.98750213708</v>
      </c>
      <c r="M52">
        <f>+'Company establishment'!B52</f>
        <v>1331</v>
      </c>
      <c r="N52" s="25">
        <f t="shared" si="10"/>
        <v>148.67017280240421</v>
      </c>
      <c r="O52" s="25">
        <f t="shared" si="11"/>
        <v>261.8903225157037</v>
      </c>
      <c r="P52" s="25">
        <f t="shared" si="6"/>
        <v>185.68575012341512</v>
      </c>
      <c r="Q52" s="25">
        <v>712</v>
      </c>
      <c r="S52" s="25">
        <f>0.1*'Gross receipts from VOC sales'!B54+0.1*'Exports in money value'!B55</f>
        <v>21129.100000000002</v>
      </c>
      <c r="U52" s="25">
        <f t="shared" si="7"/>
        <v>400.48508750213705</v>
      </c>
      <c r="X52" s="25">
        <f>+U52*1000/(Population!AM53*Population!X53)</f>
        <v>161.74780797204363</v>
      </c>
      <c r="Y52" s="25">
        <f>+resteconomy!Q52/(resteconomy!B52*Population!X53)</f>
        <v>161.02395629893167</v>
      </c>
      <c r="Z52" s="25">
        <f>+'Agricultural production'!AN53</f>
        <v>148.63131352696388</v>
      </c>
      <c r="AA52" s="25">
        <f>+Population!AM53*X52+Population!AL53*'incomeVOC and total income'!Z52+Population!AN53*'incomeVOC and total income'!Y52</f>
        <v>153.75358588690932</v>
      </c>
      <c r="AB52" s="25">
        <f>+(X52*100)/+'total economy'!L52</f>
        <v>166.11314678083681</v>
      </c>
      <c r="AC52" s="25"/>
      <c r="AD52" s="25"/>
    </row>
    <row r="53" spans="1:30" ht="15" x14ac:dyDescent="0.25">
      <c r="A53">
        <v>1751</v>
      </c>
      <c r="B53" s="82">
        <v>148876</v>
      </c>
      <c r="C53" s="82">
        <v>200040</v>
      </c>
      <c r="D53" s="82">
        <v>51164</v>
      </c>
      <c r="E53">
        <f>+'Wissel transfers from the Cape'!B52</f>
        <v>321752</v>
      </c>
      <c r="F53" s="25">
        <f t="shared" si="9"/>
        <v>270588</v>
      </c>
      <c r="G53" s="34">
        <v>158.35138840854179</v>
      </c>
      <c r="H53" s="25">
        <f t="shared" si="20"/>
        <v>52547.450780346961</v>
      </c>
      <c r="I53" s="25">
        <f t="shared" si="5"/>
        <v>390508.82331936434</v>
      </c>
      <c r="J53" s="25">
        <v>418840.72284992249</v>
      </c>
      <c r="M53">
        <f>+'Company establishment'!B53</f>
        <v>1334</v>
      </c>
      <c r="N53" s="25">
        <f t="shared" si="10"/>
        <v>149.95502248875562</v>
      </c>
      <c r="O53" s="25">
        <f t="shared" si="11"/>
        <v>292.73524986459097</v>
      </c>
      <c r="P53" s="25">
        <f t="shared" si="6"/>
        <v>207.44959031695021</v>
      </c>
      <c r="Q53" s="25">
        <v>685</v>
      </c>
      <c r="S53" s="25">
        <f>0.1*'Gross receipts from VOC sales'!B55+0.1*'Exports in money value'!B56</f>
        <v>24880.100000000002</v>
      </c>
      <c r="U53" s="25">
        <f t="shared" si="7"/>
        <v>443.72082284992246</v>
      </c>
      <c r="X53" s="25">
        <f>+U53*1000/(Population!AM54*Population!X54)</f>
        <v>180.51511310368619</v>
      </c>
      <c r="Y53" s="25">
        <f>+resteconomy!Q53/(resteconomy!B53*Population!X54)</f>
        <v>126.7414047782851</v>
      </c>
      <c r="Z53" s="25">
        <f>+'Agricultural production'!AN54</f>
        <v>145.71118105419094</v>
      </c>
      <c r="AA53" s="25">
        <f>+Population!AM54*X53+Population!AL54*'incomeVOC and total income'!Z53+Population!AN54*'incomeVOC and total income'!Y53</f>
        <v>147.32778274281571</v>
      </c>
      <c r="AB53" s="25">
        <f>+(X53*100)/+'total economy'!L53</f>
        <v>189.50292558130721</v>
      </c>
      <c r="AC53" s="25"/>
      <c r="AD53" s="25"/>
    </row>
    <row r="54" spans="1:30" ht="15" x14ac:dyDescent="0.25">
      <c r="A54">
        <v>1752</v>
      </c>
      <c r="B54" s="82">
        <v>138855</v>
      </c>
      <c r="C54" s="82">
        <v>222348</v>
      </c>
      <c r="D54" s="82">
        <v>83493</v>
      </c>
      <c r="E54">
        <f>+'Wissel transfers from the Cape'!B53</f>
        <v>284063</v>
      </c>
      <c r="F54" s="25">
        <f t="shared" si="9"/>
        <v>200570</v>
      </c>
      <c r="G54" s="34">
        <v>153.07083578542978</v>
      </c>
      <c r="H54" s="25">
        <f t="shared" si="20"/>
        <v>59514.854809111137</v>
      </c>
      <c r="I54" s="25">
        <f t="shared" si="5"/>
        <v>385123.59754956671</v>
      </c>
      <c r="J54" s="25">
        <v>410871.48291228007</v>
      </c>
      <c r="M54">
        <f>+'Company establishment'!B54</f>
        <v>1563</v>
      </c>
      <c r="N54" s="25">
        <f t="shared" si="10"/>
        <v>142.25719769673705</v>
      </c>
      <c r="O54" s="25">
        <f t="shared" si="11"/>
        <v>246.40025435033058</v>
      </c>
      <c r="P54" s="25">
        <f t="shared" si="6"/>
        <v>186.1674140970911</v>
      </c>
      <c r="Q54" s="25">
        <v>644</v>
      </c>
      <c r="S54" s="25">
        <f>0.1*'Gross receipts from VOC sales'!B56+0.1*'Exports in money value'!B57</f>
        <v>32628.9</v>
      </c>
      <c r="U54" s="25">
        <f t="shared" si="7"/>
        <v>443.50038291228009</v>
      </c>
      <c r="X54" s="25">
        <f>+U54*1000/(Population!AM55*Population!X55)</f>
        <v>162.60168306583714</v>
      </c>
      <c r="Y54" s="25">
        <f>+resteconomy!Q54/(resteconomy!B54*Population!X55)</f>
        <v>114.81221951292255</v>
      </c>
      <c r="Z54" s="25">
        <f>+'Agricultural production'!AN55</f>
        <v>148.75580261907834</v>
      </c>
      <c r="AA54" s="25">
        <f>+Population!AM55*X54+Population!AL55*'incomeVOC and total income'!Z54+Population!AN55*'incomeVOC and total income'!Y54</f>
        <v>143.70555351565068</v>
      </c>
      <c r="AB54" s="25">
        <f>+(X54*100)/+'total economy'!L54</f>
        <v>173.53960469087201</v>
      </c>
      <c r="AC54" s="25"/>
      <c r="AD54" s="25"/>
    </row>
    <row r="55" spans="1:30" ht="15" x14ac:dyDescent="0.25">
      <c r="A55">
        <v>1753</v>
      </c>
      <c r="B55" s="82">
        <v>159490</v>
      </c>
      <c r="C55" s="82">
        <v>216768</v>
      </c>
      <c r="D55" s="82">
        <v>57278</v>
      </c>
      <c r="E55">
        <f>+'Wissel transfers from the Cape'!B54</f>
        <v>427762</v>
      </c>
      <c r="F55" s="25">
        <f t="shared" si="9"/>
        <v>370484</v>
      </c>
      <c r="G55" s="34">
        <v>158.54860925857076</v>
      </c>
      <c r="H55" s="25">
        <f t="shared" si="20"/>
        <v>56754.091722160039</v>
      </c>
      <c r="I55" s="25">
        <f t="shared" si="5"/>
        <v>461601.79630826804</v>
      </c>
      <c r="J55" s="25">
        <v>490341.68973282538</v>
      </c>
      <c r="M55">
        <f>+'Company establishment'!B55</f>
        <v>1439</v>
      </c>
      <c r="N55" s="25">
        <f t="shared" si="10"/>
        <v>150.63794301598332</v>
      </c>
      <c r="O55" s="25">
        <f t="shared" si="11"/>
        <v>320.7795665797554</v>
      </c>
      <c r="P55" s="25">
        <f t="shared" si="6"/>
        <v>229.88358637263264</v>
      </c>
      <c r="Q55" s="25">
        <v>694</v>
      </c>
      <c r="S55" s="25">
        <f>0.1*'Gross receipts from VOC sales'!B57+0.1*'Exports in money value'!B58</f>
        <v>20615</v>
      </c>
      <c r="U55" s="25">
        <f t="shared" si="7"/>
        <v>510.9566897328254</v>
      </c>
      <c r="X55" s="25">
        <f>+U55*1000/(Population!AM56*Population!X56)</f>
        <v>195.17915439152898</v>
      </c>
      <c r="Y55" s="25">
        <f>+resteconomy!Q55/(resteconomy!B55*Population!X56)</f>
        <v>105.92395131195606</v>
      </c>
      <c r="Z55" s="25">
        <f>+'Agricultural production'!AN56</f>
        <v>142.26962793940578</v>
      </c>
      <c r="AA55" s="25">
        <f>+Population!AM56*X55+Population!AL56*'incomeVOC and total income'!Z55+Population!AN56*'incomeVOC and total income'!Y55</f>
        <v>142.59157669135323</v>
      </c>
      <c r="AB55" s="25">
        <f>+(X55*100)/+'total economy'!L55</f>
        <v>204.77099131061897</v>
      </c>
      <c r="AC55" s="25"/>
      <c r="AD55" s="25"/>
    </row>
    <row r="56" spans="1:30" ht="15" x14ac:dyDescent="0.25">
      <c r="A56">
        <v>1754</v>
      </c>
      <c r="B56" s="82">
        <v>130562</v>
      </c>
      <c r="C56" s="82">
        <v>220224</v>
      </c>
      <c r="D56" s="82">
        <v>89662</v>
      </c>
      <c r="E56">
        <f>+'Wissel transfers from the Cape'!B55</f>
        <v>330785</v>
      </c>
      <c r="F56" s="25">
        <f t="shared" si="9"/>
        <v>241123</v>
      </c>
      <c r="G56" s="34">
        <v>168.04119806574391</v>
      </c>
      <c r="H56" s="25">
        <f t="shared" si="20"/>
        <v>62827.343455923663</v>
      </c>
      <c r="I56" s="25">
        <f t="shared" si="5"/>
        <v>406754.21062871988</v>
      </c>
      <c r="J56" s="25">
        <v>436644.22522496618</v>
      </c>
      <c r="M56">
        <f>+'Company establishment'!B56</f>
        <v>1503</v>
      </c>
      <c r="N56" s="25">
        <f t="shared" si="10"/>
        <v>146.52295409181636</v>
      </c>
      <c r="O56" s="25">
        <f t="shared" si="11"/>
        <v>270.62821731784425</v>
      </c>
      <c r="P56" s="25">
        <f t="shared" si="6"/>
        <v>199.92867455355594</v>
      </c>
      <c r="Q56" s="25">
        <v>681</v>
      </c>
      <c r="S56" s="25">
        <f>0.1*'Gross receipts from VOC sales'!B58+0.1*'Exports in money value'!B59</f>
        <v>22733.9</v>
      </c>
      <c r="U56" s="25">
        <f t="shared" si="7"/>
        <v>459.3781252249662</v>
      </c>
      <c r="X56" s="25">
        <f>+U56*1000/(Population!AM57*Population!X57)</f>
        <v>170.36548873887421</v>
      </c>
      <c r="Y56" s="25">
        <f>+resteconomy!Q56/(resteconomy!B56*Population!X57)</f>
        <v>101.29790601243219</v>
      </c>
      <c r="Z56" s="25">
        <f>+'Agricultural production'!AN57</f>
        <v>125.97185652235977</v>
      </c>
      <c r="AA56" s="25">
        <f>+Population!AM57*X56+Population!AL57*'incomeVOC and total income'!Z56+Population!AN57*'incomeVOC and total income'!Y56</f>
        <v>127.71726879365927</v>
      </c>
      <c r="AB56" s="25">
        <f>+(X56*100)/+'total economy'!L56</f>
        <v>182.39263885076474</v>
      </c>
      <c r="AC56" s="25"/>
      <c r="AD56" s="25"/>
    </row>
    <row r="57" spans="1:30" ht="15" x14ac:dyDescent="0.25">
      <c r="A57">
        <v>1755</v>
      </c>
      <c r="B57" s="82">
        <v>135661</v>
      </c>
      <c r="C57" s="82">
        <v>217320</v>
      </c>
      <c r="D57" s="82">
        <v>81659</v>
      </c>
      <c r="E57">
        <f>+'Wissel transfers from the Cape'!B56</f>
        <v>398798</v>
      </c>
      <c r="F57" s="25">
        <f t="shared" si="9"/>
        <v>317139</v>
      </c>
      <c r="G57" s="34">
        <v>160.96312273848486</v>
      </c>
      <c r="H57" s="25">
        <f t="shared" si="20"/>
        <v>59740.542071099357</v>
      </c>
      <c r="I57" s="25">
        <f t="shared" si="5"/>
        <v>438617.06917465432</v>
      </c>
      <c r="J57" s="25">
        <v>459974.71337085031</v>
      </c>
      <c r="M57">
        <f>+'Company establishment'!B57</f>
        <v>1492</v>
      </c>
      <c r="N57" s="25">
        <f t="shared" si="10"/>
        <v>145.65683646112601</v>
      </c>
      <c r="O57" s="25">
        <f t="shared" si="11"/>
        <v>293.97926888381659</v>
      </c>
      <c r="P57" s="25">
        <f t="shared" si="6"/>
        <v>229.98735668542514</v>
      </c>
      <c r="Q57" s="25">
        <v>508</v>
      </c>
      <c r="S57" s="25">
        <f>0.1*'Gross receipts from VOC sales'!B59+0.1*'Exports in money value'!B60</f>
        <v>27665.200000000001</v>
      </c>
      <c r="U57" s="25">
        <f t="shared" si="7"/>
        <v>487.63991337085031</v>
      </c>
      <c r="X57" s="25">
        <f>+U57*1000/(Population!AM58*Population!X58)</f>
        <v>193.91734363035093</v>
      </c>
      <c r="Y57" s="25">
        <f>+resteconomy!Q57/(resteconomy!B57*Population!X58)</f>
        <v>117.52782990817239</v>
      </c>
      <c r="Z57" s="25">
        <f>+'Agricultural production'!AN58</f>
        <v>119.31634477701428</v>
      </c>
      <c r="AA57" s="25">
        <f>+Population!AM58*X57+Population!AL58*'incomeVOC and total income'!Z57+Population!AN58*'incomeVOC and total income'!Y57</f>
        <v>130.928787895498</v>
      </c>
      <c r="AB57" s="25">
        <f>+(X57*100)/+'total economy'!L57</f>
        <v>212.78418708078721</v>
      </c>
      <c r="AC57" s="25"/>
      <c r="AD57" s="25"/>
    </row>
    <row r="58" spans="1:30" ht="15" x14ac:dyDescent="0.25">
      <c r="A58">
        <v>1756</v>
      </c>
      <c r="B58" s="82">
        <f>+C58*0.67</f>
        <v>126766.68000000001</v>
      </c>
      <c r="C58" s="82">
        <v>189204</v>
      </c>
      <c r="D58" s="82">
        <f>+C58-B58</f>
        <v>62437.319999999992</v>
      </c>
      <c r="E58">
        <f>+'Wissel transfers from the Cape'!B57</f>
        <v>271169</v>
      </c>
      <c r="F58" s="25">
        <f t="shared" si="9"/>
        <v>208731.68</v>
      </c>
      <c r="G58" s="34">
        <v>160.66367916391735</v>
      </c>
      <c r="H58" s="25">
        <f t="shared" si="20"/>
        <v>50157.442127043854</v>
      </c>
      <c r="I58" s="25">
        <f t="shared" si="5"/>
        <v>346235.154233396</v>
      </c>
      <c r="J58" s="25">
        <v>371245.93294503266</v>
      </c>
      <c r="M58">
        <f>+'Company establishment'!B58</f>
        <v>1255</v>
      </c>
      <c r="N58" s="25">
        <f t="shared" si="10"/>
        <v>150.76015936254981</v>
      </c>
      <c r="O58" s="25">
        <f t="shared" si="11"/>
        <v>275.88458504653067</v>
      </c>
      <c r="P58" s="25">
        <f t="shared" si="6"/>
        <v>200.56506371962865</v>
      </c>
      <c r="Q58" s="25">
        <v>596</v>
      </c>
      <c r="S58" s="25">
        <f>0.1*'Gross receipts from VOC sales'!B60+0.1*'Exports in money value'!B61</f>
        <v>22881.300000000003</v>
      </c>
      <c r="U58" s="25">
        <f t="shared" si="7"/>
        <v>394.12723294503263</v>
      </c>
      <c r="X58" s="25">
        <f>+U58*1000/(Population!AM59*Population!X59)</f>
        <v>172.18071609459295</v>
      </c>
      <c r="Y58" s="25">
        <f>+resteconomy!Q58/(resteconomy!B58*Population!X59)</f>
        <v>116.68529849928254</v>
      </c>
      <c r="Z58" s="25">
        <f>+'Agricultural production'!AN59</f>
        <v>128.69959390799193</v>
      </c>
      <c r="AA58" s="25">
        <f>+Population!AM59*X58+Population!AL59*'incomeVOC and total income'!Z58+Population!AN59*'incomeVOC and total income'!Y58</f>
        <v>132.52314587419551</v>
      </c>
      <c r="AB58" s="25">
        <f>+(X58*100)/+'total economy'!L58</f>
        <v>189.11520192796792</v>
      </c>
      <c r="AC58" s="25"/>
      <c r="AD58" s="25"/>
    </row>
    <row r="59" spans="1:30" ht="15" x14ac:dyDescent="0.25">
      <c r="A59">
        <v>1757</v>
      </c>
      <c r="B59" s="82">
        <v>146577</v>
      </c>
      <c r="C59" s="82">
        <v>195564</v>
      </c>
      <c r="D59" s="82">
        <v>48987</v>
      </c>
      <c r="E59">
        <f>+'Wissel transfers from the Cape'!B58</f>
        <v>334991</v>
      </c>
      <c r="F59" s="25">
        <f t="shared" si="9"/>
        <v>286004</v>
      </c>
      <c r="G59" s="34">
        <v>152.04996612743827</v>
      </c>
      <c r="H59" s="25">
        <f t="shared" si="20"/>
        <v>55411.243874800268</v>
      </c>
      <c r="I59" s="25">
        <f t="shared" si="5"/>
        <v>396747.80606854026</v>
      </c>
      <c r="J59" s="25">
        <v>421172.25025430974</v>
      </c>
      <c r="M59">
        <f>+'Company establishment'!B59</f>
        <v>1465</v>
      </c>
      <c r="N59" s="25">
        <f t="shared" si="10"/>
        <v>133.49078498293517</v>
      </c>
      <c r="O59" s="25">
        <f t="shared" si="11"/>
        <v>270.81761506384998</v>
      </c>
      <c r="P59" s="25">
        <f t="shared" si="6"/>
        <v>202.48665877611046</v>
      </c>
      <c r="Q59" s="25">
        <v>615</v>
      </c>
      <c r="S59" s="25">
        <f>0.1*'Gross receipts from VOC sales'!B61+0.1*'Exports in money value'!B62</f>
        <v>18000.2</v>
      </c>
      <c r="U59" s="25">
        <f t="shared" si="7"/>
        <v>439.17245025430975</v>
      </c>
      <c r="X59" s="25">
        <f>+U59*1000/(Population!AM60*Population!X60)</f>
        <v>169.0840164027168</v>
      </c>
      <c r="Y59" s="25">
        <f>+resteconomy!Q59/(resteconomy!B59*Population!X60)</f>
        <v>95.696000168916726</v>
      </c>
      <c r="Z59" s="25">
        <f>+'Agricultural production'!AN60</f>
        <v>105.65328831711146</v>
      </c>
      <c r="AA59" s="25">
        <f>+Population!AM60*X59+Population!AL60*'incomeVOC and total income'!Z59+Population!AN60*'incomeVOC and total income'!Y59</f>
        <v>114.22879239708786</v>
      </c>
      <c r="AB59" s="25">
        <f>+(X59*100)/+'total economy'!L59</f>
        <v>187.21107421156827</v>
      </c>
      <c r="AC59" s="25"/>
      <c r="AD59" s="25"/>
    </row>
    <row r="60" spans="1:30" ht="15" x14ac:dyDescent="0.25">
      <c r="A60">
        <v>1758</v>
      </c>
      <c r="B60" s="82">
        <f>+C60*0.61</f>
        <v>117076.08</v>
      </c>
      <c r="C60" s="82">
        <v>191928</v>
      </c>
      <c r="D60" s="82">
        <f>+C60-B60</f>
        <v>74851.92</v>
      </c>
      <c r="E60">
        <f>+'Wissel transfers from the Cape'!B59</f>
        <v>218688</v>
      </c>
      <c r="F60" s="25">
        <f t="shared" si="9"/>
        <v>143836.08000000002</v>
      </c>
      <c r="G60" s="34">
        <v>155.12640776297252</v>
      </c>
      <c r="H60" s="25">
        <f t="shared" si="20"/>
        <v>56262.264308063175</v>
      </c>
      <c r="I60" s="25">
        <f t="shared" si="5"/>
        <v>322921.4175234664</v>
      </c>
      <c r="J60" s="25">
        <v>346300.3563650577</v>
      </c>
      <c r="M60">
        <f>+'Company establishment'!B60</f>
        <v>1458</v>
      </c>
      <c r="N60" s="25">
        <f t="shared" si="10"/>
        <v>131.63786008230451</v>
      </c>
      <c r="O60" s="25">
        <f t="shared" si="11"/>
        <v>221.48245371979863</v>
      </c>
      <c r="P60" s="25">
        <f t="shared" si="6"/>
        <v>170.17216528995465</v>
      </c>
      <c r="Q60" s="25">
        <v>577</v>
      </c>
      <c r="S60" s="25">
        <f>0.1*'Gross receipts from VOC sales'!B62+0.1*'Exports in money value'!B63</f>
        <v>19525.400000000001</v>
      </c>
      <c r="U60" s="25">
        <f t="shared" si="7"/>
        <v>365.82575636505771</v>
      </c>
      <c r="X60" s="25">
        <f>+U60*1000/(Population!AM61*Population!X61)</f>
        <v>143.12622338351693</v>
      </c>
      <c r="Y60" s="25">
        <f>+resteconomy!Q60/(resteconomy!B60*Population!X61)</f>
        <v>100.42134064973264</v>
      </c>
      <c r="Z60" s="25">
        <f>+'Agricultural production'!AN61</f>
        <v>108.34048025277295</v>
      </c>
      <c r="AA60" s="25">
        <f>+Population!AM61*X60+Population!AL61*'incomeVOC and total income'!Z60+Population!AN61*'incomeVOC and total income'!Y60</f>
        <v>112.11692277065012</v>
      </c>
      <c r="AB60" s="25">
        <f>+(X60*100)/+'total economy'!L60</f>
        <v>158.61001947154944</v>
      </c>
      <c r="AC60" s="25"/>
      <c r="AD60" s="25"/>
    </row>
    <row r="61" spans="1:30" ht="15" x14ac:dyDescent="0.25">
      <c r="A61">
        <v>1759</v>
      </c>
      <c r="B61" s="82">
        <v>124078</v>
      </c>
      <c r="C61" s="82">
        <v>190656</v>
      </c>
      <c r="D61" s="82">
        <v>66578</v>
      </c>
      <c r="E61">
        <f>+'Wissel transfers from the Cape'!B60</f>
        <v>219431</v>
      </c>
      <c r="F61" s="25">
        <f t="shared" si="9"/>
        <v>152853</v>
      </c>
      <c r="G61" s="34">
        <v>156.3683118949134</v>
      </c>
      <c r="H61" s="25">
        <f t="shared" si="20"/>
        <v>53484.186282464165</v>
      </c>
      <c r="I61" s="25">
        <f t="shared" si="5"/>
        <v>323240.89559658739</v>
      </c>
      <c r="J61" s="25">
        <v>348113.95953718503</v>
      </c>
      <c r="M61">
        <f>+'Company establishment'!B61</f>
        <v>1375</v>
      </c>
      <c r="N61" s="25">
        <f t="shared" si="10"/>
        <v>138.65890909090908</v>
      </c>
      <c r="O61" s="25">
        <f t="shared" si="11"/>
        <v>235.08428770660902</v>
      </c>
      <c r="P61" s="25">
        <f t="shared" si="6"/>
        <v>175.46066508930696</v>
      </c>
      <c r="Q61" s="25">
        <v>609</v>
      </c>
      <c r="S61" s="25">
        <f>0.1*'Gross receipts from VOC sales'!B63+0.1*'Exports in money value'!B64</f>
        <v>23805.800000000003</v>
      </c>
      <c r="U61" s="25">
        <f t="shared" si="7"/>
        <v>371.91975953718503</v>
      </c>
      <c r="X61" s="25">
        <f>+U61*1000/(Population!AM62*Population!X62)</f>
        <v>149.90078023887563</v>
      </c>
      <c r="Y61" s="25">
        <f>+resteconomy!Q61/(resteconomy!B61*Population!X62)</f>
        <v>102.85636869244135</v>
      </c>
      <c r="Z61" s="25">
        <f>+'Agricultural production'!AN62</f>
        <v>98.371307315990776</v>
      </c>
      <c r="AA61" s="25">
        <f>+Population!AM62*X61+Population!AL62*'incomeVOC and total income'!Z61+Population!AN62*'incomeVOC and total income'!Y61</f>
        <v>107.45412261862207</v>
      </c>
      <c r="AB61" s="25">
        <f>+(X61*100)/+'total economy'!L61</f>
        <v>166.15906878777307</v>
      </c>
      <c r="AC61" s="25"/>
      <c r="AD61" s="25"/>
    </row>
    <row r="62" spans="1:30" ht="15" x14ac:dyDescent="0.25">
      <c r="A62">
        <v>1760</v>
      </c>
      <c r="B62" s="82">
        <v>133270</v>
      </c>
      <c r="C62" s="82">
        <v>199068</v>
      </c>
      <c r="D62" s="82">
        <v>65798</v>
      </c>
      <c r="E62">
        <f>+'Wissel transfers from the Cape'!B61</f>
        <v>190481</v>
      </c>
      <c r="F62" s="25">
        <f t="shared" si="9"/>
        <v>124683</v>
      </c>
      <c r="G62" s="34">
        <v>157.556831612498</v>
      </c>
      <c r="H62" s="25">
        <f t="shared" si="20"/>
        <v>53067.649254557793</v>
      </c>
      <c r="I62" s="25">
        <f t="shared" si="5"/>
        <v>317130.53171728569</v>
      </c>
      <c r="J62" s="25">
        <v>340999.21590932831</v>
      </c>
      <c r="M62">
        <f>+'Company establishment'!B62</f>
        <v>1354</v>
      </c>
      <c r="N62" s="25">
        <f t="shared" si="10"/>
        <v>147.02215657311669</v>
      </c>
      <c r="O62" s="25">
        <f t="shared" si="11"/>
        <v>234.21752711764083</v>
      </c>
      <c r="P62" s="25">
        <f t="shared" si="6"/>
        <v>176.31810543398569</v>
      </c>
      <c r="Q62" s="25">
        <v>580</v>
      </c>
      <c r="S62" s="25">
        <f>0.1*'Gross receipts from VOC sales'!B64+0.1*'Exports in money value'!B65</f>
        <v>26878.300000000003</v>
      </c>
      <c r="U62" s="25">
        <f t="shared" si="7"/>
        <v>367.87751590932828</v>
      </c>
      <c r="X62" s="25">
        <f>+U62*1000/(Population!AM63*Population!X63)</f>
        <v>151.43415007140729</v>
      </c>
      <c r="Y62" s="25">
        <f>+resteconomy!Q62/(resteconomy!B62*Population!X63)</f>
        <v>98.751117719513871</v>
      </c>
      <c r="Z62" s="25">
        <f>+'Agricultural production'!AN63</f>
        <v>97.498779243565238</v>
      </c>
      <c r="AA62" s="25">
        <f>+Population!AM63*X62+Population!AL63*'incomeVOC and total income'!Z62+Population!AN63*'incomeVOC and total income'!Y62</f>
        <v>105.65782597724538</v>
      </c>
      <c r="AB62" s="25">
        <f>+(X62*100)/+'total economy'!L62</f>
        <v>167.79581699655381</v>
      </c>
      <c r="AC62" s="25"/>
      <c r="AD62" s="25"/>
    </row>
    <row r="63" spans="1:30" ht="15" x14ac:dyDescent="0.25">
      <c r="A63">
        <v>1761</v>
      </c>
      <c r="B63" s="82">
        <v>96853</v>
      </c>
      <c r="C63" s="82">
        <v>200088</v>
      </c>
      <c r="D63" s="82">
        <v>103235</v>
      </c>
      <c r="E63">
        <f>+'Wissel transfers from the Cape'!B62</f>
        <v>197757</v>
      </c>
      <c r="F63" s="25">
        <f t="shared" si="9"/>
        <v>94522</v>
      </c>
      <c r="G63" s="34">
        <v>166.87303163694421</v>
      </c>
      <c r="H63" s="25">
        <f t="shared" si="20"/>
        <v>57533.836280797186</v>
      </c>
      <c r="I63" s="25">
        <f t="shared" si="5"/>
        <v>307759.52809483703</v>
      </c>
      <c r="J63" s="25">
        <v>334477.89297372242</v>
      </c>
      <c r="M63">
        <f>+'Company establishment'!B63</f>
        <v>1386</v>
      </c>
      <c r="N63" s="25">
        <f t="shared" si="10"/>
        <v>144.36363636363637</v>
      </c>
      <c r="O63" s="25">
        <f t="shared" si="11"/>
        <v>222.04872156914649</v>
      </c>
      <c r="P63" s="25">
        <f t="shared" si="6"/>
        <v>167.32260779075659</v>
      </c>
      <c r="Q63" s="25">
        <v>613</v>
      </c>
      <c r="S63" s="25">
        <f>0.1*'Gross receipts from VOC sales'!B65+0.1*'Exports in money value'!B66</f>
        <v>23618.400000000001</v>
      </c>
      <c r="U63" s="25">
        <f t="shared" si="7"/>
        <v>358.09629297372243</v>
      </c>
      <c r="X63" s="25">
        <f>+U63*1000/(Population!AM64*Population!X64)</f>
        <v>142.55548198581488</v>
      </c>
      <c r="Y63" s="25">
        <f>+resteconomy!Q63/(resteconomy!B63*Population!X64)</f>
        <v>117.02098227131346</v>
      </c>
      <c r="Z63" s="25">
        <f>+'Agricultural production'!AN64</f>
        <v>108.52185584219093</v>
      </c>
      <c r="AA63" s="25">
        <f>+Population!AM64*X63+Population!AL64*'incomeVOC and total income'!Z63+Population!AN64*'incomeVOC and total income'!Y63</f>
        <v>115.68211087889651</v>
      </c>
      <c r="AB63" s="25">
        <f>+(X63*100)/+'total economy'!L63</f>
        <v>148.88438973085692</v>
      </c>
      <c r="AC63" s="25"/>
      <c r="AD63" s="25"/>
    </row>
    <row r="64" spans="1:30" ht="15" x14ac:dyDescent="0.25">
      <c r="A64">
        <v>1762</v>
      </c>
      <c r="B64" s="82">
        <v>110488</v>
      </c>
      <c r="C64" s="84">
        <f>+(C63+C65)/2</f>
        <v>200388</v>
      </c>
      <c r="D64" s="82">
        <f>+C64-B64</f>
        <v>89900</v>
      </c>
      <c r="E64">
        <f>+'Wissel transfers from the Cape'!B63</f>
        <v>53568</v>
      </c>
      <c r="F64" s="32">
        <v>0</v>
      </c>
      <c r="G64" s="34">
        <v>165.99207033105779</v>
      </c>
      <c r="H64" s="25">
        <f t="shared" si="20"/>
        <v>53513.861479863415</v>
      </c>
      <c r="I64" s="25">
        <f t="shared" si="5"/>
        <v>256577.55455385658</v>
      </c>
      <c r="J64" s="25">
        <v>282157.6758399487</v>
      </c>
      <c r="M64">
        <f>+'Company establishment'!B64</f>
        <v>1296</v>
      </c>
      <c r="N64" s="25">
        <f t="shared" si="10"/>
        <v>154.62037037037038</v>
      </c>
      <c r="O64" s="25">
        <f t="shared" si="11"/>
        <v>197.97650814340784</v>
      </c>
      <c r="P64" s="25">
        <f t="shared" si="6"/>
        <v>149.60640288438427</v>
      </c>
      <c r="Q64" s="25">
        <v>590</v>
      </c>
      <c r="S64" s="25">
        <f>0.1*'Gross receipts from VOC sales'!B66+0.1*'Exports in money value'!B67</f>
        <v>21824.9</v>
      </c>
      <c r="U64" s="25">
        <f t="shared" si="7"/>
        <v>303.98257583994871</v>
      </c>
      <c r="X64" s="25">
        <f>+U64*1000/(Population!AM65*Population!X65)</f>
        <v>128.19084885873028</v>
      </c>
      <c r="Y64" s="25">
        <f>+resteconomy!Q64/(resteconomy!B64*Population!X65)</f>
        <v>92.217039811298946</v>
      </c>
      <c r="Z64" s="25">
        <f>+'Agricultural production'!AN65</f>
        <v>97.045040012616226</v>
      </c>
      <c r="AA64" s="25">
        <f>+Population!AM65*X64+Population!AL65*'incomeVOC and total income'!Z64+Population!AN65*'incomeVOC and total income'!Y64</f>
        <v>99.945779657317431</v>
      </c>
      <c r="AB64" s="25">
        <f>+(X64*100)/+'total economy'!L64</f>
        <v>138.41463881524439</v>
      </c>
      <c r="AC64" s="25"/>
      <c r="AD64" s="25"/>
    </row>
    <row r="65" spans="1:30" ht="15" x14ac:dyDescent="0.25">
      <c r="A65">
        <v>1763</v>
      </c>
      <c r="B65" s="82">
        <v>95745</v>
      </c>
      <c r="C65" s="82">
        <v>200688</v>
      </c>
      <c r="D65" s="82">
        <v>104943</v>
      </c>
      <c r="E65">
        <f>+'Wissel transfers from the Cape'!B64</f>
        <v>83504</v>
      </c>
      <c r="F65" s="32">
        <v>0</v>
      </c>
      <c r="G65" s="34">
        <v>148.8535940003072</v>
      </c>
      <c r="H65" s="25">
        <f t="shared" si="20"/>
        <v>49617.86466676907</v>
      </c>
      <c r="I65" s="25">
        <f t="shared" si="5"/>
        <v>252786.75790010754</v>
      </c>
      <c r="J65" s="25">
        <v>277825.26542821893</v>
      </c>
      <c r="M65">
        <f>+'Company establishment'!B65</f>
        <v>1340</v>
      </c>
      <c r="N65" s="25">
        <f t="shared" si="10"/>
        <v>149.76716417910447</v>
      </c>
      <c r="O65" s="25">
        <f t="shared" si="11"/>
        <v>188.64683425381159</v>
      </c>
      <c r="P65" s="25">
        <f t="shared" si="6"/>
        <v>140.03289588115874</v>
      </c>
      <c r="Q65" s="25">
        <v>644</v>
      </c>
      <c r="S65" s="25">
        <f>0.1*'Gross receipts from VOC sales'!B67+0.1*'Exports in money value'!B68</f>
        <v>28416.300000000003</v>
      </c>
      <c r="U65" s="25">
        <f t="shared" si="7"/>
        <v>306.24156542821891</v>
      </c>
      <c r="X65" s="25">
        <f>+U65*1000/(Population!AM66*Population!X66)</f>
        <v>122.90335252527314</v>
      </c>
      <c r="Y65" s="25">
        <f>+resteconomy!Q65/(resteconomy!B65*Population!X66)</f>
        <v>99.588217367226079</v>
      </c>
      <c r="Z65" s="25">
        <f>+'Agricultural production'!AN66</f>
        <v>116.64162727427217</v>
      </c>
      <c r="AA65" s="25">
        <f>+Population!AM66*X65+Population!AL66*'incomeVOC and total income'!Z65+Population!AN66*'incomeVOC and total income'!Y65</f>
        <v>112.91184562155642</v>
      </c>
      <c r="AB65" s="25">
        <f>+(X65*100)/+'total economy'!L65</f>
        <v>136.76787439047368</v>
      </c>
      <c r="AC65" s="25"/>
      <c r="AD65" s="25"/>
    </row>
    <row r="66" spans="1:30" ht="15" x14ac:dyDescent="0.25">
      <c r="A66">
        <v>1764</v>
      </c>
      <c r="B66" s="82">
        <v>127742</v>
      </c>
      <c r="C66" s="82">
        <v>211140</v>
      </c>
      <c r="D66" s="82">
        <v>83398</v>
      </c>
      <c r="E66">
        <f>+'Wissel transfers from the Cape'!B65</f>
        <v>102118</v>
      </c>
      <c r="F66" s="25">
        <f t="shared" si="9"/>
        <v>18720</v>
      </c>
      <c r="G66" s="34">
        <v>150.18872489863409</v>
      </c>
      <c r="H66" s="25">
        <f t="shared" si="20"/>
        <v>60374.372994077792</v>
      </c>
      <c r="I66" s="25">
        <f t="shared" si="5"/>
        <v>283893.09164378169</v>
      </c>
      <c r="J66" s="25">
        <v>306174.8218750119</v>
      </c>
      <c r="M66">
        <f>+'Company establishment'!B66</f>
        <v>1616</v>
      </c>
      <c r="N66" s="25">
        <f t="shared" si="10"/>
        <v>130.65594059405942</v>
      </c>
      <c r="O66" s="25">
        <f t="shared" si="11"/>
        <v>175.67641809639957</v>
      </c>
      <c r="P66" s="25">
        <f t="shared" si="6"/>
        <v>140.18993675595783</v>
      </c>
      <c r="Q66" s="25">
        <v>568</v>
      </c>
      <c r="S66" s="25">
        <f>0.1*'Gross receipts from VOC sales'!B68+0.1*'Exports in money value'!B69</f>
        <v>21823</v>
      </c>
      <c r="U66" s="25">
        <f t="shared" si="7"/>
        <v>327.99782187501188</v>
      </c>
      <c r="X66" s="25">
        <f>+U66*1000/(Population!AM67*Population!X67)</f>
        <v>116.99464815754821</v>
      </c>
      <c r="Y66" s="25">
        <f>+resteconomy!Q66/(resteconomy!B66*Population!X67)</f>
        <v>104.85741222003894</v>
      </c>
      <c r="Z66" s="25">
        <f>+'Agricultural production'!AN67</f>
        <v>111.80488599291917</v>
      </c>
      <c r="AA66" s="25">
        <f>+Population!AM67*X66+Population!AL67*'incomeVOC and total income'!Z66+Population!AN67*'incomeVOC and total income'!Y66</f>
        <v>110.75803402989297</v>
      </c>
      <c r="AB66" s="25">
        <f>+(X66*100)/+'total economy'!L66</f>
        <v>134.30602102029877</v>
      </c>
      <c r="AC66" s="25"/>
      <c r="AD66" s="25"/>
    </row>
    <row r="67" spans="1:30" ht="15" x14ac:dyDescent="0.25">
      <c r="A67">
        <v>1765</v>
      </c>
      <c r="B67" s="82">
        <f>+C67*0.6</f>
        <v>124113.59999999999</v>
      </c>
      <c r="C67" s="82">
        <v>206856</v>
      </c>
      <c r="D67" s="82">
        <f>+C67-B67</f>
        <v>82742.400000000009</v>
      </c>
      <c r="E67">
        <f>+'Wissel transfers from the Cape'!B66</f>
        <v>287921</v>
      </c>
      <c r="F67" s="25">
        <f t="shared" si="9"/>
        <v>205178.59999999998</v>
      </c>
      <c r="G67" s="34">
        <v>155.24803659200398</v>
      </c>
      <c r="H67" s="25">
        <f t="shared" si="20"/>
        <v>57503.563802361678</v>
      </c>
      <c r="I67" s="25">
        <f t="shared" si="5"/>
        <v>369824.04199247976</v>
      </c>
      <c r="J67" s="25">
        <v>394883.85566027864</v>
      </c>
      <c r="M67">
        <f>+'Company establishment'!B67</f>
        <v>1489</v>
      </c>
      <c r="N67" s="25">
        <f t="shared" si="10"/>
        <v>138.92276695768973</v>
      </c>
      <c r="O67" s="25">
        <f t="shared" si="11"/>
        <v>248.37074680488902</v>
      </c>
      <c r="P67" s="25">
        <f t="shared" si="6"/>
        <v>187.41521388717544</v>
      </c>
      <c r="Q67" s="25">
        <v>618</v>
      </c>
      <c r="S67" s="25">
        <f>0.1*'Gross receipts from VOC sales'!B69+0.1*'Exports in money value'!B70</f>
        <v>23432.300000000003</v>
      </c>
      <c r="U67" s="25">
        <f t="shared" si="7"/>
        <v>418.31615566027864</v>
      </c>
      <c r="X67" s="25">
        <f>+U67*1000/(Population!AM68*Population!X68)</f>
        <v>155.82204846844559</v>
      </c>
      <c r="Y67" s="25">
        <f>+resteconomy!Q67/(resteconomy!B67*Population!X68)</f>
        <v>88.055051337173921</v>
      </c>
      <c r="Z67" s="25">
        <f>+'Agricultural production'!AN68</f>
        <v>118.04858845306512</v>
      </c>
      <c r="AA67" s="25">
        <f>+Population!AM68*X67+Population!AL68*'incomeVOC and total income'!Z67+Population!AN68*'incomeVOC and total income'!Y67</f>
        <v>115.24083100050242</v>
      </c>
      <c r="AB67" s="25">
        <f>+(X67*100)/+'total economy'!L67</f>
        <v>175.00201455558053</v>
      </c>
      <c r="AC67" s="25"/>
      <c r="AD67" s="25"/>
    </row>
    <row r="68" spans="1:30" ht="15" x14ac:dyDescent="0.25">
      <c r="A68">
        <v>1766</v>
      </c>
      <c r="B68" s="82">
        <v>125602</v>
      </c>
      <c r="C68" s="82">
        <v>210336</v>
      </c>
      <c r="D68" s="82">
        <v>84734</v>
      </c>
      <c r="E68">
        <f>+'Wissel transfers from the Cape'!B67</f>
        <v>352865</v>
      </c>
      <c r="F68" s="25">
        <f t="shared" si="9"/>
        <v>268131</v>
      </c>
      <c r="G68" s="34">
        <v>154.37093382465559</v>
      </c>
      <c r="H68" s="25">
        <f t="shared" si="20"/>
        <v>64858.832644239636</v>
      </c>
      <c r="I68" s="25">
        <f t="shared" ref="I68:I95" si="21">+C68+F68*0.5+H68*1.05</f>
        <v>412503.27427645162</v>
      </c>
      <c r="J68" s="25">
        <v>437461.82861459465</v>
      </c>
      <c r="M68">
        <f>+'Company establishment'!B68</f>
        <v>1689</v>
      </c>
      <c r="N68" s="25">
        <f t="shared" si="10"/>
        <v>124.53285968028419</v>
      </c>
      <c r="O68" s="25">
        <f t="shared" si="11"/>
        <v>244.22929205236923</v>
      </c>
      <c r="P68" s="25">
        <f t="shared" ref="P68:P95" si="22">+J68/(M68+Q68)</f>
        <v>189.54152019696474</v>
      </c>
      <c r="Q68" s="25">
        <v>619</v>
      </c>
      <c r="S68" s="25">
        <f>0.1*'Gross receipts from VOC sales'!B70+0.1*'Exports in money value'!B71</f>
        <v>24838.400000000001</v>
      </c>
      <c r="U68" s="25">
        <f t="shared" ref="U68:U95" si="23">+(S68+J68)/1000</f>
        <v>462.30022861459469</v>
      </c>
      <c r="X68" s="25">
        <f>+U68*1000/(Population!AM69*Population!X69)</f>
        <v>155.61021874923242</v>
      </c>
      <c r="Y68" s="25">
        <f>+resteconomy!Q68/(resteconomy!B68*Population!X69)</f>
        <v>76.031236518851259</v>
      </c>
      <c r="Z68" s="25">
        <f>+'Agricultural production'!AN69</f>
        <v>120.31887394098209</v>
      </c>
      <c r="AA68" s="25">
        <f>+Population!AM69*X68+Population!AL69*'incomeVOC and total income'!Z68+Population!AN69*'incomeVOC and total income'!Y68</f>
        <v>113.41644584893763</v>
      </c>
      <c r="AB68" s="25">
        <f>+(X68*100)/+'total economy'!L68</f>
        <v>176.16313281651105</v>
      </c>
      <c r="AC68" s="25"/>
      <c r="AD68" s="25"/>
    </row>
    <row r="69" spans="1:30" ht="15" x14ac:dyDescent="0.25">
      <c r="A69">
        <v>1767</v>
      </c>
      <c r="B69" s="82">
        <v>114163</v>
      </c>
      <c r="C69" s="82">
        <v>216048</v>
      </c>
      <c r="D69" s="82">
        <v>101885</v>
      </c>
      <c r="E69">
        <f>+'Wissel transfers from the Cape'!B68</f>
        <v>161531</v>
      </c>
      <c r="F69" s="25">
        <f t="shared" si="9"/>
        <v>59646</v>
      </c>
      <c r="G69" s="34">
        <v>154.04197352855962</v>
      </c>
      <c r="H69" s="25">
        <f t="shared" si="20"/>
        <v>59547.56887148798</v>
      </c>
      <c r="I69" s="25">
        <f t="shared" si="21"/>
        <v>308395.9473150624</v>
      </c>
      <c r="J69" s="25">
        <v>330525.11142270995</v>
      </c>
      <c r="M69">
        <f>+'Company establishment'!B69</f>
        <v>1554</v>
      </c>
      <c r="N69" s="25">
        <f t="shared" si="10"/>
        <v>139.02702702702703</v>
      </c>
      <c r="O69" s="25">
        <f t="shared" si="11"/>
        <v>198.45299055023321</v>
      </c>
      <c r="P69" s="25">
        <f t="shared" si="22"/>
        <v>157.09368413626899</v>
      </c>
      <c r="Q69" s="25">
        <v>550</v>
      </c>
      <c r="S69" s="25">
        <f>0.1*'Gross receipts from VOC sales'!B71+0.1*'Exports in money value'!B72</f>
        <v>16655.599999999999</v>
      </c>
      <c r="U69" s="25">
        <f t="shared" si="23"/>
        <v>347.18071142270992</v>
      </c>
      <c r="X69" s="25">
        <f>+U69*1000/(Population!AM70*Population!X70)</f>
        <v>127.58841081736129</v>
      </c>
      <c r="Y69" s="25">
        <f>+resteconomy!Q69/(resteconomy!B69*Population!X70)</f>
        <v>82.232617897000722</v>
      </c>
      <c r="Z69" s="25">
        <f>+'Agricultural production'!AN70</f>
        <v>120.45881827600302</v>
      </c>
      <c r="AA69" s="25">
        <f>+Population!AM70*X69+Population!AL70*'incomeVOC and total income'!Z69+Population!AN70*'incomeVOC and total income'!Y69</f>
        <v>110.97676587113033</v>
      </c>
      <c r="AB69" s="25">
        <f>+(X69*100)/+'total economy'!L69</f>
        <v>144.08197546829643</v>
      </c>
      <c r="AC69" s="25"/>
      <c r="AD69" s="25"/>
    </row>
    <row r="70" spans="1:30" ht="15" x14ac:dyDescent="0.25">
      <c r="A70">
        <v>1768</v>
      </c>
      <c r="B70" s="82">
        <v>134272</v>
      </c>
      <c r="C70" s="82">
        <v>214380</v>
      </c>
      <c r="D70" s="82">
        <v>80108</v>
      </c>
      <c r="E70">
        <f>+'Wissel transfers from the Cape'!B69</f>
        <v>169767</v>
      </c>
      <c r="F70" s="25">
        <f t="shared" si="9"/>
        <v>89659</v>
      </c>
      <c r="G70" s="34">
        <v>153.89229588506493</v>
      </c>
      <c r="H70" s="25">
        <f t="shared" si="20"/>
        <v>60446.750050377501</v>
      </c>
      <c r="I70" s="25">
        <f t="shared" si="21"/>
        <v>322678.58755289635</v>
      </c>
      <c r="J70" s="25">
        <v>344786.2494617583</v>
      </c>
      <c r="M70">
        <f>+'Company establishment'!B70</f>
        <v>1579</v>
      </c>
      <c r="N70" s="25">
        <f t="shared" si="10"/>
        <v>135.76947435085498</v>
      </c>
      <c r="O70" s="25">
        <f t="shared" si="11"/>
        <v>204.35629357371522</v>
      </c>
      <c r="P70" s="25">
        <f t="shared" si="22"/>
        <v>161.94751031552761</v>
      </c>
      <c r="Q70" s="25">
        <v>550</v>
      </c>
      <c r="S70" s="25">
        <f>0.1*'Gross receipts from VOC sales'!B72+0.1*'Exports in money value'!B73</f>
        <v>23856.9</v>
      </c>
      <c r="U70" s="25">
        <f t="shared" si="23"/>
        <v>368.6431494617583</v>
      </c>
      <c r="X70" s="25">
        <f>+U70*1000/(Population!AM71*Population!X71)</f>
        <v>133.40078592232939</v>
      </c>
      <c r="Y70" s="25">
        <f>+resteconomy!Q70/(resteconomy!B70*Population!X71)</f>
        <v>85.99053686409961</v>
      </c>
      <c r="Z70" s="25">
        <f>+'Agricultural production'!AN71</f>
        <v>121.43691385084684</v>
      </c>
      <c r="AA70" s="25">
        <f>+Population!AM71*X70+Population!AL71*'incomeVOC and total income'!Z70+Population!AN71*'incomeVOC and total income'!Y70</f>
        <v>113.35352859305593</v>
      </c>
      <c r="AB70" s="25">
        <f>+(X70*100)/+'total economy'!L70</f>
        <v>150.2606679813704</v>
      </c>
      <c r="AC70" s="25"/>
      <c r="AD70" s="25"/>
    </row>
    <row r="71" spans="1:30" ht="15" x14ac:dyDescent="0.25">
      <c r="A71">
        <v>1769</v>
      </c>
      <c r="B71" s="82">
        <v>127837</v>
      </c>
      <c r="C71" s="82">
        <v>222732</v>
      </c>
      <c r="D71" s="82">
        <v>94895</v>
      </c>
      <c r="E71">
        <f>+'Wissel transfers from the Cape'!B70</f>
        <v>147565</v>
      </c>
      <c r="F71" s="25">
        <f t="shared" si="9"/>
        <v>52670</v>
      </c>
      <c r="G71" s="34">
        <v>183.88883582200995</v>
      </c>
      <c r="H71" s="25">
        <f t="shared" ref="H71:H96" si="24">2*M71*G71/9.61</f>
        <v>64868.174134923393</v>
      </c>
      <c r="I71" s="25">
        <f t="shared" si="21"/>
        <v>317178.58284166956</v>
      </c>
      <c r="J71" s="25">
        <v>338516.19374959084</v>
      </c>
      <c r="M71">
        <f>+'Company establishment'!B71</f>
        <v>1695</v>
      </c>
      <c r="N71" s="25">
        <f t="shared" si="10"/>
        <v>131.40530973451328</v>
      </c>
      <c r="O71" s="25">
        <f t="shared" si="11"/>
        <v>187.12600757620623</v>
      </c>
      <c r="P71" s="25">
        <f t="shared" si="22"/>
        <v>152.07376179226901</v>
      </c>
      <c r="Q71" s="25">
        <v>531</v>
      </c>
      <c r="S71" s="25">
        <f>0.1*'Gross receipts from VOC sales'!B73+0.1*'Exports in money value'!B74</f>
        <v>22795.9</v>
      </c>
      <c r="U71" s="25">
        <f t="shared" si="23"/>
        <v>361.31209374959087</v>
      </c>
      <c r="X71" s="25">
        <f>+U71*1000/(Population!AM72*Population!X72)</f>
        <v>123.94630968635241</v>
      </c>
      <c r="Y71" s="25">
        <f>+resteconomy!Q71/(resteconomy!B71*Population!X72)</f>
        <v>102.14260819200057</v>
      </c>
      <c r="Z71" s="25">
        <f>+'Agricultural production'!AN72</f>
        <v>115.97877895235192</v>
      </c>
      <c r="AA71" s="25">
        <f>+Population!AM72*X71+Population!AL72*'incomeVOC and total income'!Z71+Population!AN72*'incomeVOC and total income'!Y71</f>
        <v>113.31558290813653</v>
      </c>
      <c r="AB71" s="25">
        <f>+(X71*100)/+'total economy'!L71</f>
        <v>140.68483595534403</v>
      </c>
      <c r="AC71" s="25"/>
      <c r="AD71" s="25"/>
    </row>
    <row r="72" spans="1:30" ht="15" x14ac:dyDescent="0.25">
      <c r="A72">
        <v>1770</v>
      </c>
      <c r="B72" s="82">
        <v>138116</v>
      </c>
      <c r="C72" s="82">
        <v>223788</v>
      </c>
      <c r="D72" s="82">
        <v>85672</v>
      </c>
      <c r="E72">
        <f>+'Wissel transfers from the Cape'!B71</f>
        <v>129515</v>
      </c>
      <c r="F72" s="25">
        <f t="shared" si="9"/>
        <v>43843</v>
      </c>
      <c r="G72" s="34">
        <v>175.62351116759351</v>
      </c>
      <c r="H72" s="25">
        <f t="shared" si="24"/>
        <v>62281.469933315158</v>
      </c>
      <c r="I72" s="25">
        <f t="shared" si="21"/>
        <v>311105.04342998093</v>
      </c>
      <c r="J72" s="25">
        <v>334822.44122324866</v>
      </c>
      <c r="M72">
        <f>+'Company establishment'!B72</f>
        <v>1704</v>
      </c>
      <c r="N72" s="25">
        <f t="shared" si="10"/>
        <v>131.33098591549296</v>
      </c>
      <c r="O72" s="25">
        <f t="shared" si="11"/>
        <v>182.57338229458975</v>
      </c>
      <c r="P72" s="25">
        <f t="shared" si="22"/>
        <v>144.19571112112345</v>
      </c>
      <c r="Q72" s="25">
        <v>618</v>
      </c>
      <c r="S72" s="25">
        <f>0.1*'Gross receipts from VOC sales'!B74+0.1*'Exports in money value'!B75</f>
        <v>21957.850000000002</v>
      </c>
      <c r="U72" s="25">
        <f t="shared" si="23"/>
        <v>356.78029122324864</v>
      </c>
      <c r="X72" s="25">
        <f>+U72*1000/(Population!AM73*Population!X73)</f>
        <v>118.02574103203767</v>
      </c>
      <c r="Y72" s="25">
        <f>+resteconomy!Q72/(resteconomy!B72*Population!X73)</f>
        <v>94.667358957101044</v>
      </c>
      <c r="Z72" s="25">
        <f>+'Agricultural production'!AN73</f>
        <v>113.49405318041551</v>
      </c>
      <c r="AA72" s="25">
        <f>+Population!AM73*X72+Population!AL73*'incomeVOC and total income'!Z72+Population!AN73*'incomeVOC and total income'!Y72</f>
        <v>109.04309163477237</v>
      </c>
      <c r="AB72" s="25">
        <f>+(X72*100)/+'total economy'!L72</f>
        <v>141.48877729445252</v>
      </c>
      <c r="AC72" s="25"/>
      <c r="AD72" s="25"/>
    </row>
    <row r="73" spans="1:30" ht="15" x14ac:dyDescent="0.25">
      <c r="A73">
        <v>1771</v>
      </c>
      <c r="B73" s="82">
        <v>130529</v>
      </c>
      <c r="C73" s="82">
        <v>222432</v>
      </c>
      <c r="D73" s="82">
        <v>91903</v>
      </c>
      <c r="E73">
        <f>+'Wissel transfers from the Cape'!B72</f>
        <v>200727</v>
      </c>
      <c r="F73" s="25">
        <f t="shared" si="9"/>
        <v>108824</v>
      </c>
      <c r="G73" s="34">
        <v>166.0070021931667</v>
      </c>
      <c r="H73" s="25">
        <f t="shared" si="24"/>
        <v>62187.846815338205</v>
      </c>
      <c r="I73" s="25">
        <f t="shared" si="21"/>
        <v>342141.23915610509</v>
      </c>
      <c r="J73" s="25">
        <v>364342.3004691808</v>
      </c>
      <c r="M73">
        <f>+'Company establishment'!B73</f>
        <v>1800</v>
      </c>
      <c r="N73" s="25">
        <f t="shared" si="10"/>
        <v>123.57333333333334</v>
      </c>
      <c r="O73" s="25">
        <f t="shared" si="11"/>
        <v>190.07846619783615</v>
      </c>
      <c r="P73" s="25">
        <f t="shared" si="22"/>
        <v>151.05402175339171</v>
      </c>
      <c r="Q73" s="25">
        <v>612</v>
      </c>
      <c r="S73" s="25">
        <f>0.1*'Gross receipts from VOC sales'!B75+0.1*'Exports in money value'!B76</f>
        <v>19479.300000000003</v>
      </c>
      <c r="U73" s="25">
        <f t="shared" si="23"/>
        <v>383.82160046918079</v>
      </c>
      <c r="X73" s="25">
        <f>+U73*1000/(Population!AM74*Population!X74)</f>
        <v>121.4192505266939</v>
      </c>
      <c r="Y73" s="25">
        <f>+resteconomy!Q73/(resteconomy!B73*Population!X74)</f>
        <v>88.244119732412358</v>
      </c>
      <c r="Z73" s="25">
        <f>+'Agricultural production'!AN74</f>
        <v>108.70371536399355</v>
      </c>
      <c r="AA73" s="25">
        <f>+Population!AM74*X73+Population!AL74*'incomeVOC and total income'!Z73+Population!AN74*'incomeVOC and total income'!Y73</f>
        <v>104.8824855522255</v>
      </c>
      <c r="AB73" s="25">
        <f>+(X73*100)/+'total economy'!L73</f>
        <v>150.04889453240378</v>
      </c>
      <c r="AC73" s="25"/>
      <c r="AD73" s="25"/>
    </row>
    <row r="74" spans="1:30" ht="15" x14ac:dyDescent="0.25">
      <c r="A74">
        <v>1772</v>
      </c>
      <c r="B74" s="82">
        <v>155297</v>
      </c>
      <c r="C74" s="82">
        <v>216948</v>
      </c>
      <c r="D74" s="82">
        <v>61651</v>
      </c>
      <c r="E74">
        <f>+'Wissel transfers from the Cape'!B73</f>
        <v>183126</v>
      </c>
      <c r="F74" s="25">
        <f t="shared" si="9"/>
        <v>121475</v>
      </c>
      <c r="G74" s="34">
        <v>160.73635240895587</v>
      </c>
      <c r="H74" s="25">
        <f t="shared" si="24"/>
        <v>65666.068632420473</v>
      </c>
      <c r="I74" s="25">
        <f t="shared" si="21"/>
        <v>346634.8720640415</v>
      </c>
      <c r="J74" s="25">
        <v>366409.95941608195</v>
      </c>
      <c r="M74">
        <f>+'Company establishment'!B74</f>
        <v>1963</v>
      </c>
      <c r="N74" s="25">
        <f t="shared" si="10"/>
        <v>110.51859398879266</v>
      </c>
      <c r="O74" s="25">
        <f t="shared" si="11"/>
        <v>176.58424455631254</v>
      </c>
      <c r="P74" s="25">
        <f t="shared" si="22"/>
        <v>145.05540752814014</v>
      </c>
      <c r="Q74" s="25">
        <v>563</v>
      </c>
      <c r="S74" s="25">
        <f>0.1*'Gross receipts from VOC sales'!B76+0.1*'Exports in money value'!B77</f>
        <v>22140</v>
      </c>
      <c r="U74" s="25">
        <f t="shared" si="23"/>
        <v>388.54995941608195</v>
      </c>
      <c r="X74" s="25">
        <f>+U74*1000/(Population!AM75*Population!X75)</f>
        <v>115.89497054780018</v>
      </c>
      <c r="Y74" s="25">
        <f>+resteconomy!Q74/(resteconomy!B74*Population!X75)</f>
        <v>73.582154913294531</v>
      </c>
      <c r="Z74" s="25">
        <f>+'Agricultural production'!AN75</f>
        <v>100.47401943297329</v>
      </c>
      <c r="AA74" s="25">
        <f>+Population!AM75*X74+Population!AL75*'incomeVOC and total income'!Z74+Population!AN75*'incomeVOC and total income'!Y74</f>
        <v>95.390973665604534</v>
      </c>
      <c r="AB74" s="25">
        <f>+(X74*100)/+'total economy'!L74</f>
        <v>146.17503160083436</v>
      </c>
      <c r="AC74" s="25"/>
      <c r="AD74" s="25"/>
    </row>
    <row r="75" spans="1:30" ht="15" x14ac:dyDescent="0.25">
      <c r="A75">
        <v>1773</v>
      </c>
      <c r="B75" s="82">
        <v>146497</v>
      </c>
      <c r="C75" s="82">
        <v>230004</v>
      </c>
      <c r="D75" s="82">
        <v>83507</v>
      </c>
      <c r="E75">
        <f>+'Wissel transfers from the Cape'!B74</f>
        <v>231724</v>
      </c>
      <c r="F75" s="25">
        <f t="shared" si="9"/>
        <v>148217</v>
      </c>
      <c r="G75" s="34">
        <v>167.71448378858943</v>
      </c>
      <c r="H75" s="25">
        <f t="shared" si="24"/>
        <v>75567.504141997109</v>
      </c>
      <c r="I75" s="25">
        <f t="shared" si="21"/>
        <v>383458.37934909697</v>
      </c>
      <c r="J75" s="25">
        <v>405411.35012512887</v>
      </c>
      <c r="M75">
        <f>+'Company establishment'!B75</f>
        <v>2165</v>
      </c>
      <c r="N75" s="25">
        <f t="shared" si="10"/>
        <v>106.23741339491917</v>
      </c>
      <c r="O75" s="25">
        <f t="shared" si="11"/>
        <v>177.11703434138428</v>
      </c>
      <c r="P75" s="25">
        <f t="shared" si="22"/>
        <v>146.67559700619714</v>
      </c>
      <c r="Q75" s="25">
        <v>599</v>
      </c>
      <c r="S75" s="25">
        <f>0.1*'Gross receipts from VOC sales'!B77+0.1*'Exports in money value'!B78</f>
        <v>27073.800000000003</v>
      </c>
      <c r="U75" s="25">
        <f t="shared" si="23"/>
        <v>432.48515012512888</v>
      </c>
      <c r="X75" s="25">
        <f>+U75*1000/(Population!AM76*Population!X76)</f>
        <v>117.31839133162393</v>
      </c>
      <c r="Y75" s="25">
        <f>+resteconomy!Q75/(resteconomy!B75*Population!X76)</f>
        <v>85.970332274962487</v>
      </c>
      <c r="Z75" s="25">
        <f>+'Agricultural production'!AN76</f>
        <v>129.58226306974009</v>
      </c>
      <c r="AA75" s="25">
        <f>+Population!AM76*X75+Population!AL76*'incomeVOC and total income'!Z75+Population!AN76*'incomeVOC and total income'!Y75</f>
        <v>116.549331353044</v>
      </c>
      <c r="AB75" s="25">
        <f>+(X75*100)/+'total economy'!L75</f>
        <v>144.88863779439754</v>
      </c>
      <c r="AC75" s="25"/>
      <c r="AD75" s="25"/>
    </row>
    <row r="76" spans="1:30" ht="15" x14ac:dyDescent="0.25">
      <c r="A76">
        <v>1774</v>
      </c>
      <c r="B76" s="82">
        <f>+C76*0.58</f>
        <v>137508.72</v>
      </c>
      <c r="C76" s="82">
        <v>237084</v>
      </c>
      <c r="D76" s="82">
        <f>+C76-B76</f>
        <v>99575.28</v>
      </c>
      <c r="E76">
        <f>+'Wissel transfers from the Cape'!B75</f>
        <v>483434</v>
      </c>
      <c r="F76" s="25">
        <f t="shared" si="9"/>
        <v>383858.72</v>
      </c>
      <c r="G76" s="34">
        <v>169.9955431701861</v>
      </c>
      <c r="H76" s="25">
        <f t="shared" si="24"/>
        <v>76099.98196858904</v>
      </c>
      <c r="I76" s="25">
        <f t="shared" si="21"/>
        <v>508918.34106701845</v>
      </c>
      <c r="J76" s="25">
        <v>533770.23894420825</v>
      </c>
      <c r="M76">
        <f>+'Company establishment'!B76</f>
        <v>2151</v>
      </c>
      <c r="N76" s="25">
        <f t="shared" si="10"/>
        <v>110.22036262203626</v>
      </c>
      <c r="O76" s="25">
        <f t="shared" si="11"/>
        <v>236.59616042167292</v>
      </c>
      <c r="P76" s="25">
        <f t="shared" si="22"/>
        <v>189.28022657596037</v>
      </c>
      <c r="Q76" s="25">
        <v>669</v>
      </c>
      <c r="S76" s="25">
        <f>0.1*'Gross receipts from VOC sales'!B78+0.1*'Exports in money value'!B79</f>
        <v>29956.500000000004</v>
      </c>
      <c r="U76" s="25">
        <f t="shared" si="23"/>
        <v>563.72673894420825</v>
      </c>
      <c r="X76" s="25">
        <f>+U76*1000/(Population!AM77*Population!X77)</f>
        <v>150.43657678764868</v>
      </c>
      <c r="Y76" s="25">
        <f>+resteconomy!Q76/(resteconomy!B76*Population!X77)</f>
        <v>72.961416985925382</v>
      </c>
      <c r="Z76" s="25">
        <f>+'Agricultural production'!AN77</f>
        <v>113.09191816143984</v>
      </c>
      <c r="AA76" s="25">
        <f>+Population!AM77*X76+Population!AL77*'incomeVOC and total income'!Z76+Population!AN77*'incomeVOC and total income'!Y76</f>
        <v>107.78747968256769</v>
      </c>
      <c r="AB76" s="25">
        <f>+(X76*100)/+'total economy'!L76</f>
        <v>198.39953023986286</v>
      </c>
      <c r="AC76" s="25"/>
      <c r="AD76" s="25"/>
    </row>
    <row r="77" spans="1:30" ht="15" x14ac:dyDescent="0.25">
      <c r="A77">
        <v>1775</v>
      </c>
      <c r="B77" s="82">
        <v>134945</v>
      </c>
      <c r="C77" s="82">
        <v>260832</v>
      </c>
      <c r="D77" s="82">
        <v>125887</v>
      </c>
      <c r="E77">
        <f>+'Wissel transfers from the Cape'!B76</f>
        <v>339616</v>
      </c>
      <c r="F77" s="25">
        <f t="shared" si="9"/>
        <v>213729</v>
      </c>
      <c r="G77" s="34">
        <v>173.42143266385492</v>
      </c>
      <c r="H77" s="25">
        <f t="shared" si="24"/>
        <v>72869.484401315945</v>
      </c>
      <c r="I77" s="25">
        <f t="shared" si="21"/>
        <v>444209.45862138178</v>
      </c>
      <c r="J77" s="25">
        <v>468993.74536649504</v>
      </c>
      <c r="M77">
        <f>+'Company establishment'!B77</f>
        <v>2019</v>
      </c>
      <c r="N77" s="25">
        <f t="shared" si="10"/>
        <v>129.18870728083209</v>
      </c>
      <c r="O77" s="25">
        <f t="shared" si="11"/>
        <v>220.0145906990499</v>
      </c>
      <c r="P77" s="25">
        <f t="shared" si="22"/>
        <v>175.45594663916762</v>
      </c>
      <c r="Q77" s="25">
        <v>654</v>
      </c>
      <c r="S77" s="25">
        <f>0.1*'Gross receipts from VOC sales'!B79+0.1*'Exports in money value'!B80</f>
        <v>26219.200000000001</v>
      </c>
      <c r="U77" s="25">
        <f t="shared" si="23"/>
        <v>495.21294536649503</v>
      </c>
      <c r="X77" s="25">
        <f>+U77*1000/(Population!AM78*Population!X78)</f>
        <v>139.35377981040455</v>
      </c>
      <c r="Y77" s="25">
        <f>+resteconomy!Q77/(resteconomy!B77*Population!X78)</f>
        <v>90.604972635307888</v>
      </c>
      <c r="Z77" s="25">
        <f>+'Agricultural production'!AN78</f>
        <v>105.04429085785637</v>
      </c>
      <c r="AA77" s="25">
        <f>+Population!AM78*X77+Population!AL78*'incomeVOC and total income'!Z77+Population!AN78*'incomeVOC and total income'!Y77</f>
        <v>105.52073192327511</v>
      </c>
      <c r="AB77" s="25">
        <f>+(X77*100)/+'total economy'!L77</f>
        <v>179.92420640999111</v>
      </c>
      <c r="AC77" s="25"/>
      <c r="AD77" s="25"/>
    </row>
    <row r="78" spans="1:30" ht="15" x14ac:dyDescent="0.25">
      <c r="A78">
        <v>1776</v>
      </c>
      <c r="B78" s="82">
        <v>146047</v>
      </c>
      <c r="C78" s="82">
        <v>260148</v>
      </c>
      <c r="D78" s="82">
        <v>114101</v>
      </c>
      <c r="E78">
        <f>+'Wissel transfers from the Cape'!B77</f>
        <v>288444</v>
      </c>
      <c r="F78" s="25">
        <f t="shared" ref="F78:F91" si="25">+E78-D78</f>
        <v>174343</v>
      </c>
      <c r="G78" s="34">
        <v>172.31662571946541</v>
      </c>
      <c r="H78" s="25">
        <f t="shared" si="24"/>
        <v>71042.504797140689</v>
      </c>
      <c r="I78" s="25">
        <f t="shared" si="21"/>
        <v>421914.13003699773</v>
      </c>
      <c r="J78" s="25">
        <v>448649.20693062135</v>
      </c>
      <c r="M78">
        <f>+'Company establishment'!B78</f>
        <v>1981</v>
      </c>
      <c r="N78" s="25">
        <f t="shared" ref="N78:N95" si="26">+C78/M78</f>
        <v>131.32155477031802</v>
      </c>
      <c r="O78" s="25">
        <f t="shared" ref="O78:O95" si="27">+I78/M78</f>
        <v>212.98037861534465</v>
      </c>
      <c r="P78" s="25">
        <f t="shared" si="22"/>
        <v>166.72211331498377</v>
      </c>
      <c r="Q78" s="25">
        <v>710</v>
      </c>
      <c r="S78" s="25">
        <f>0.1*'Gross receipts from VOC sales'!B80+0.1*'Exports in money value'!B81</f>
        <v>28751.800000000003</v>
      </c>
      <c r="U78" s="25">
        <f t="shared" si="23"/>
        <v>477.40100693062135</v>
      </c>
      <c r="X78" s="25">
        <f>+U78*1000/(Population!AM79*Population!X79)</f>
        <v>133.90357152018362</v>
      </c>
      <c r="Y78" s="25">
        <f>+resteconomy!Q78/(resteconomy!B78*Population!X79)</f>
        <v>75.273205028335198</v>
      </c>
      <c r="Z78" s="25">
        <f>+'Agricultural production'!AN79</f>
        <v>95.594048654490678</v>
      </c>
      <c r="AA78" s="25">
        <f>+Population!AM79*X78+Population!AL79*'incomeVOC and total income'!Z78+Population!AN79*'incomeVOC and total income'!Y78</f>
        <v>94.452808222421211</v>
      </c>
      <c r="AB78" s="25">
        <f>+(X78*100)/+'total economy'!L78</f>
        <v>174.69326384650287</v>
      </c>
      <c r="AC78" s="25"/>
      <c r="AD78" s="25"/>
    </row>
    <row r="79" spans="1:30" ht="15" x14ac:dyDescent="0.25">
      <c r="A79">
        <v>1777</v>
      </c>
      <c r="B79" s="82">
        <v>113424</v>
      </c>
      <c r="C79" s="82">
        <v>254124</v>
      </c>
      <c r="D79" s="82">
        <v>140700</v>
      </c>
      <c r="E79">
        <f>+'Wissel transfers from the Cape'!B78</f>
        <v>298444</v>
      </c>
      <c r="F79" s="25">
        <f t="shared" si="25"/>
        <v>157744</v>
      </c>
      <c r="G79" s="34">
        <v>171.21228378127637</v>
      </c>
      <c r="H79" s="25">
        <f t="shared" si="24"/>
        <v>63781.475123513992</v>
      </c>
      <c r="I79" s="25">
        <f t="shared" si="21"/>
        <v>399966.54887968971</v>
      </c>
      <c r="J79" s="25">
        <v>425445.28842553817</v>
      </c>
      <c r="M79">
        <f>+'Company establishment'!B79</f>
        <v>1790</v>
      </c>
      <c r="N79" s="25">
        <f t="shared" si="26"/>
        <v>141.96871508379888</v>
      </c>
      <c r="O79" s="25">
        <f t="shared" si="27"/>
        <v>223.44499937412834</v>
      </c>
      <c r="P79" s="25">
        <f t="shared" si="22"/>
        <v>172.17534942352819</v>
      </c>
      <c r="Q79" s="25">
        <v>681</v>
      </c>
      <c r="S79" s="25">
        <f>0.1*'Gross receipts from VOC sales'!B81+0.1*'Exports in money value'!B82</f>
        <v>21007.200000000001</v>
      </c>
      <c r="U79" s="25">
        <f t="shared" si="23"/>
        <v>446.45248842553815</v>
      </c>
      <c r="X79" s="25">
        <f>+U79*1000/(Population!AM80*Population!X80)</f>
        <v>136.5177589522749</v>
      </c>
      <c r="Y79" s="25">
        <f>+resteconomy!Q79/(resteconomy!B79*Population!X80)</f>
        <v>63.005345576000757</v>
      </c>
      <c r="Z79" s="25">
        <f>+'Agricultural production'!AN80</f>
        <v>75.460300559779753</v>
      </c>
      <c r="AA79" s="25">
        <f>+Population!AM80*X79+Population!AL80*'incomeVOC and total income'!Z79+Population!AN80*'incomeVOC and total income'!Y79</f>
        <v>78.435381890443011</v>
      </c>
      <c r="AB79" s="25">
        <f>+(X79*100)/+'total economy'!L79</f>
        <v>177.72378086496448</v>
      </c>
      <c r="AC79" s="25"/>
      <c r="AD79" s="25"/>
    </row>
    <row r="80" spans="1:30" ht="15" x14ac:dyDescent="0.25">
      <c r="A80">
        <v>1778</v>
      </c>
      <c r="B80" s="82">
        <v>123239</v>
      </c>
      <c r="C80" s="82">
        <v>241944</v>
      </c>
      <c r="D80" s="82">
        <v>118705</v>
      </c>
      <c r="E80">
        <f>+'Wissel transfers from the Cape'!B79</f>
        <v>178926</v>
      </c>
      <c r="F80" s="25">
        <f t="shared" si="25"/>
        <v>60221</v>
      </c>
      <c r="G80" s="34">
        <v>170.11392231453078</v>
      </c>
      <c r="H80" s="25">
        <f t="shared" si="24"/>
        <v>57141.284207211807</v>
      </c>
      <c r="I80" s="25">
        <f t="shared" si="21"/>
        <v>332052.84841757239</v>
      </c>
      <c r="J80" s="25">
        <v>359189.64788772597</v>
      </c>
      <c r="M80">
        <f>+'Company establishment'!B80</f>
        <v>1614</v>
      </c>
      <c r="N80" s="25">
        <f t="shared" si="26"/>
        <v>149.90334572490707</v>
      </c>
      <c r="O80" s="25">
        <f t="shared" si="27"/>
        <v>205.73286766888003</v>
      </c>
      <c r="P80" s="25">
        <f t="shared" si="22"/>
        <v>153.2379043889616</v>
      </c>
      <c r="Q80" s="25">
        <v>730</v>
      </c>
      <c r="S80" s="25">
        <f>0.1*'Gross receipts from VOC sales'!B82+0.1*'Exports in money value'!B83</f>
        <v>18131.800000000003</v>
      </c>
      <c r="U80" s="25">
        <f t="shared" si="23"/>
        <v>377.32144788772598</v>
      </c>
      <c r="X80" s="25">
        <f>+U80*1000/(Population!AM81*Population!X81)</f>
        <v>122.77788417423901</v>
      </c>
      <c r="Y80" s="25">
        <f>+resteconomy!Q80/(resteconomy!B80*Population!X81)</f>
        <v>70.440573119240511</v>
      </c>
      <c r="Z80" s="25">
        <f>+'Agricultural production'!AN81</f>
        <v>64.143223214790524</v>
      </c>
      <c r="AA80" s="25">
        <f>+Population!AM81*X80+Population!AL81*'incomeVOC and total income'!Z80+Population!AN81*'incomeVOC and total income'!Y80</f>
        <v>71.858641410019672</v>
      </c>
      <c r="AB80" s="25">
        <f>+(X80*100)/+'total economy'!L80</f>
        <v>159.89746911706825</v>
      </c>
      <c r="AC80" s="25"/>
      <c r="AD80" s="25"/>
    </row>
    <row r="81" spans="1:30" ht="15" x14ac:dyDescent="0.25">
      <c r="A81">
        <v>1779</v>
      </c>
      <c r="B81" s="82">
        <v>95844</v>
      </c>
      <c r="C81" s="82">
        <v>245412</v>
      </c>
      <c r="D81" s="82">
        <v>149568</v>
      </c>
      <c r="E81">
        <f>+'Wissel transfers from the Cape'!B80</f>
        <v>299999</v>
      </c>
      <c r="F81" s="25">
        <f t="shared" si="25"/>
        <v>150431</v>
      </c>
      <c r="G81" s="34">
        <v>169.56352457037354</v>
      </c>
      <c r="H81" s="25">
        <f t="shared" si="24"/>
        <v>58438.542495013236</v>
      </c>
      <c r="I81" s="25">
        <f t="shared" si="21"/>
        <v>381987.9696197639</v>
      </c>
      <c r="J81" s="25">
        <v>409574.24355207925</v>
      </c>
      <c r="M81">
        <f>+'Company establishment'!B81</f>
        <v>1656</v>
      </c>
      <c r="N81" s="25">
        <f t="shared" si="26"/>
        <v>148.19565217391303</v>
      </c>
      <c r="O81" s="25">
        <f t="shared" si="27"/>
        <v>230.66906378005066</v>
      </c>
      <c r="P81" s="25">
        <f t="shared" si="22"/>
        <v>170.6203888990124</v>
      </c>
      <c r="Q81" s="25">
        <f>+(Q80+Q82)/2</f>
        <v>744.5</v>
      </c>
      <c r="S81" s="25">
        <f>0.1*'Gross receipts from VOC sales'!B83+0.1*'Exports in money value'!B84</f>
        <v>28438.2</v>
      </c>
      <c r="U81" s="25">
        <f t="shared" si="23"/>
        <v>438.01244355207928</v>
      </c>
      <c r="X81" s="25">
        <f>+U81*1000/(Population!AM82*Population!X82)</f>
        <v>138.72093899118292</v>
      </c>
      <c r="Y81" s="25">
        <f>+resteconomy!Q81/(resteconomy!B81*Population!X82)</f>
        <v>69.581656340345006</v>
      </c>
      <c r="Z81" s="25">
        <f>+'Agricultural production'!AN82</f>
        <v>56.243533211367364</v>
      </c>
      <c r="AA81" s="25">
        <f>+Population!AM82*X81+Population!AL82*'incomeVOC and total income'!Z81+Population!AN82*'incomeVOC and total income'!Y81</f>
        <v>68.530401685358086</v>
      </c>
      <c r="AB81" s="25">
        <f>+(X81*100)/+'total economy'!L81</f>
        <v>185.52271614997775</v>
      </c>
      <c r="AC81" s="25"/>
      <c r="AD81" s="25"/>
    </row>
    <row r="82" spans="1:30" ht="15" x14ac:dyDescent="0.25">
      <c r="A82">
        <v>1780</v>
      </c>
      <c r="B82" s="82">
        <v>115529</v>
      </c>
      <c r="C82" s="82">
        <v>250440</v>
      </c>
      <c r="D82" s="82">
        <v>134911</v>
      </c>
      <c r="E82">
        <f>+'Wissel transfers from the Cape'!B81</f>
        <v>299999</v>
      </c>
      <c r="F82" s="25">
        <f t="shared" si="25"/>
        <v>165088</v>
      </c>
      <c r="G82" s="34">
        <v>168.46282734254356</v>
      </c>
      <c r="H82" s="25">
        <f t="shared" si="24"/>
        <v>59146.054053459113</v>
      </c>
      <c r="I82" s="25">
        <f t="shared" si="21"/>
        <v>395087.3567561321</v>
      </c>
      <c r="J82" s="25">
        <v>423028.34536188445</v>
      </c>
      <c r="M82">
        <f>+'Company establishment'!B82</f>
        <v>1687</v>
      </c>
      <c r="N82" s="25">
        <f t="shared" si="26"/>
        <v>148.45287492590398</v>
      </c>
      <c r="O82" s="25">
        <f t="shared" si="27"/>
        <v>234.19523222058808</v>
      </c>
      <c r="P82" s="25">
        <f t="shared" si="22"/>
        <v>172.94699319782683</v>
      </c>
      <c r="Q82" s="25">
        <v>759</v>
      </c>
      <c r="S82" s="25">
        <f>0.1*'Gross receipts from VOC sales'!B84+0.1*'Exports in money value'!B85</f>
        <v>22390</v>
      </c>
      <c r="U82" s="25">
        <f t="shared" si="23"/>
        <v>445.41834536188446</v>
      </c>
      <c r="X82" s="25">
        <f>+U82*1000/(Population!AM83*Population!X83)</f>
        <v>138.05947448836608</v>
      </c>
      <c r="Y82" s="25">
        <f>+resteconomy!Q82/(resteconomy!B82*Population!X83)</f>
        <v>66.672523556069848</v>
      </c>
      <c r="Z82" s="25">
        <f>+'Agricultural production'!AN83</f>
        <v>60.783325754355467</v>
      </c>
      <c r="AA82" s="25">
        <f>+Population!AM83*X82+Population!AL83*'incomeVOC and total income'!Z82+Population!AN83*'incomeVOC and total income'!Y82</f>
        <v>70.278522710676199</v>
      </c>
      <c r="AB82" s="25">
        <f>+(X82*100)/+'total economy'!L82</f>
        <v>182.42600979358818</v>
      </c>
      <c r="AC82" s="25"/>
      <c r="AD82" s="25"/>
    </row>
    <row r="83" spans="1:30" ht="15" x14ac:dyDescent="0.25">
      <c r="A83">
        <v>1781</v>
      </c>
      <c r="B83" s="82">
        <v>150290</v>
      </c>
      <c r="C83" s="82">
        <v>302628</v>
      </c>
      <c r="D83" s="82">
        <v>152338</v>
      </c>
      <c r="E83">
        <f>+'Wissel transfers from the Cape'!B82</f>
        <v>200002</v>
      </c>
      <c r="F83" s="25">
        <f t="shared" si="25"/>
        <v>47664</v>
      </c>
      <c r="G83" s="34">
        <v>169.2734338780848</v>
      </c>
      <c r="H83" s="25">
        <f t="shared" si="24"/>
        <v>63200.112461453515</v>
      </c>
      <c r="I83" s="25">
        <f t="shared" si="21"/>
        <v>392820.11808452621</v>
      </c>
      <c r="J83" s="25">
        <v>422227.19382432464</v>
      </c>
      <c r="M83">
        <f>+'Company establishment'!B83</f>
        <v>1794</v>
      </c>
      <c r="N83" s="25">
        <f t="shared" si="26"/>
        <v>168.68896321070235</v>
      </c>
      <c r="O83" s="25">
        <f t="shared" si="27"/>
        <v>218.96327652426211</v>
      </c>
      <c r="P83" s="25">
        <f t="shared" si="22"/>
        <v>163.08504975833318</v>
      </c>
      <c r="Q83" s="25">
        <v>795</v>
      </c>
      <c r="S83" s="25">
        <f>0.1*'Gross receipts from VOC sales'!B85+0.1*'Exports in money value'!B86</f>
        <v>21791.1</v>
      </c>
      <c r="U83" s="25">
        <f t="shared" si="23"/>
        <v>444.01829382432464</v>
      </c>
      <c r="X83" s="25">
        <f>+U83*1000/(Population!AM84*Population!X84)</f>
        <v>129.50576314165551</v>
      </c>
      <c r="Y83" s="25">
        <f>+resteconomy!Q83/(resteconomy!B83*Population!X84)</f>
        <v>65.715406919503252</v>
      </c>
      <c r="Z83" s="25">
        <f>+'Agricultural production'!AN84</f>
        <v>33.938983670365559</v>
      </c>
      <c r="AA83" s="25">
        <f>+Population!AM84*X83+Population!AL84*'incomeVOC and total income'!Z83+Population!AN84*'incomeVOC and total income'!Y83</f>
        <v>53.550770823761376</v>
      </c>
      <c r="AB83" s="25">
        <f>+(X83*100)/+'total economy'!L83</f>
        <v>171.89296576766824</v>
      </c>
      <c r="AC83" s="25"/>
      <c r="AD83" s="25"/>
    </row>
    <row r="84" spans="1:30" ht="15" x14ac:dyDescent="0.25">
      <c r="A84">
        <v>1782</v>
      </c>
      <c r="B84" s="82">
        <v>197128</v>
      </c>
      <c r="C84" s="82">
        <v>370440</v>
      </c>
      <c r="D84" s="82">
        <v>173312</v>
      </c>
      <c r="E84">
        <f>+'Wissel transfers from the Cape'!B83</f>
        <v>186719</v>
      </c>
      <c r="F84" s="25">
        <f t="shared" si="25"/>
        <v>13407</v>
      </c>
      <c r="G84" s="34">
        <v>170.14171828412029</v>
      </c>
      <c r="H84" s="25">
        <f t="shared" si="24"/>
        <v>77086.060500422464</v>
      </c>
      <c r="I84" s="25">
        <f t="shared" si="21"/>
        <v>458083.86352544359</v>
      </c>
      <c r="J84" s="25">
        <v>486563.56883572828</v>
      </c>
      <c r="M84">
        <f>+'Company establishment'!B84</f>
        <v>2177</v>
      </c>
      <c r="N84" s="25">
        <f t="shared" si="26"/>
        <v>170.16077170418006</v>
      </c>
      <c r="O84" s="25">
        <f t="shared" si="27"/>
        <v>210.4197811324959</v>
      </c>
      <c r="P84" s="25">
        <f t="shared" si="22"/>
        <v>165.32910935634669</v>
      </c>
      <c r="Q84" s="25">
        <v>766</v>
      </c>
      <c r="S84" s="25">
        <f>0.1*'Gross receipts from VOC sales'!B86+0.1*'Exports in money value'!B87</f>
        <v>10428.299999999999</v>
      </c>
      <c r="U84" s="25">
        <f t="shared" si="23"/>
        <v>496.99186883572827</v>
      </c>
      <c r="X84" s="25">
        <f>+U84*1000/(Population!AM85*Population!X85)</f>
        <v>125.06655555338619</v>
      </c>
      <c r="Y84" s="25">
        <f>+resteconomy!Q84/(resteconomy!B84*Population!X85)</f>
        <v>67.07495310412898</v>
      </c>
      <c r="Z84" s="25">
        <f>+'Agricultural production'!AN85</f>
        <v>48.596307448341214</v>
      </c>
      <c r="AA84" s="25">
        <f>+Population!AM85*X84+Population!AL85*'incomeVOC and total income'!Z84+Population!AN85*'incomeVOC and total income'!Y84</f>
        <v>62.993132248435714</v>
      </c>
      <c r="AB84" s="25">
        <f>+(X84*100)/+'total economy'!L84</f>
        <v>166.53787247296043</v>
      </c>
      <c r="AC84" s="25"/>
      <c r="AD84" s="25"/>
    </row>
    <row r="85" spans="1:30" ht="15" x14ac:dyDescent="0.25">
      <c r="A85">
        <v>1783</v>
      </c>
      <c r="B85" s="82">
        <v>176794</v>
      </c>
      <c r="C85" s="82">
        <v>330732</v>
      </c>
      <c r="D85" s="82">
        <v>153938</v>
      </c>
      <c r="E85">
        <f>+'Wissel transfers from the Cape'!B84</f>
        <v>271371</v>
      </c>
      <c r="F85" s="25">
        <f t="shared" si="25"/>
        <v>117433</v>
      </c>
      <c r="G85" s="34">
        <v>171.01292778104849</v>
      </c>
      <c r="H85" s="25">
        <f t="shared" si="24"/>
        <v>68262.808633517387</v>
      </c>
      <c r="I85" s="25">
        <f t="shared" si="21"/>
        <v>461124.44906519324</v>
      </c>
      <c r="J85" s="25">
        <v>488927.84119475726</v>
      </c>
      <c r="M85">
        <f>+'Company establishment'!B85</f>
        <v>1918</v>
      </c>
      <c r="N85" s="25">
        <f t="shared" si="26"/>
        <v>172.43587069864441</v>
      </c>
      <c r="O85" s="25">
        <f t="shared" si="27"/>
        <v>240.41942078477229</v>
      </c>
      <c r="P85" s="25">
        <f t="shared" si="22"/>
        <v>183.66936183123863</v>
      </c>
      <c r="Q85" s="25">
        <v>744</v>
      </c>
      <c r="S85" s="25">
        <f>0.1*'Gross receipts from VOC sales'!B87+0.1*'Exports in money value'!B88</f>
        <v>13671.400000000001</v>
      </c>
      <c r="U85" s="25">
        <f t="shared" si="23"/>
        <v>502.59924119475727</v>
      </c>
      <c r="X85" s="25">
        <f>+U85*1000/(Population!AM86*Population!X86)</f>
        <v>140.35564255576756</v>
      </c>
      <c r="Y85" s="25">
        <f>+resteconomy!Q85/(resteconomy!B85*Population!X86)</f>
        <v>64.685107115594676</v>
      </c>
      <c r="Z85" s="25">
        <f>+'Agricultural production'!AN86</f>
        <v>57.506356124388276</v>
      </c>
      <c r="AA85" s="25">
        <f>+Population!AM86*X85+Population!AL86*'incomeVOC and total income'!Z85+Population!AN86*'incomeVOC and total income'!Y85</f>
        <v>68.185115938438912</v>
      </c>
      <c r="AB85" s="25">
        <f>+(X85*100)/+'total economy'!L85</f>
        <v>181.53834728002872</v>
      </c>
      <c r="AC85" s="25"/>
      <c r="AD85" s="25"/>
    </row>
    <row r="86" spans="1:30" ht="15" x14ac:dyDescent="0.25">
      <c r="A86">
        <v>1784</v>
      </c>
      <c r="B86" s="82">
        <f>+C86*0.51</f>
        <v>157847.04000000001</v>
      </c>
      <c r="C86" s="82">
        <v>309504</v>
      </c>
      <c r="D86" s="82">
        <f>+C86-B86</f>
        <v>151656.95999999999</v>
      </c>
      <c r="E86">
        <f>+'Wissel transfers from the Cape'!B85</f>
        <v>648374</v>
      </c>
      <c r="F86" s="25">
        <f t="shared" si="25"/>
        <v>496717.04000000004</v>
      </c>
      <c r="G86" s="34">
        <v>165.13912700605306</v>
      </c>
      <c r="H86" s="25">
        <f t="shared" si="24"/>
        <v>65437.023479609794</v>
      </c>
      <c r="I86" s="25">
        <f t="shared" si="21"/>
        <v>626571.39465359028</v>
      </c>
      <c r="J86" s="25">
        <v>653167.21430679201</v>
      </c>
      <c r="M86">
        <f>+'Company establishment'!B86</f>
        <v>1904</v>
      </c>
      <c r="N86" s="25">
        <f t="shared" si="26"/>
        <v>162.55462184873949</v>
      </c>
      <c r="O86" s="25">
        <f t="shared" si="27"/>
        <v>329.08161483907054</v>
      </c>
      <c r="P86" s="25">
        <f t="shared" si="22"/>
        <v>247.31814248647936</v>
      </c>
      <c r="Q86" s="25">
        <v>737</v>
      </c>
      <c r="S86" s="25">
        <f>0.1*'Gross receipts from VOC sales'!B88+0.1*'Exports in money value'!B89</f>
        <v>10033</v>
      </c>
      <c r="U86" s="25">
        <f t="shared" si="23"/>
        <v>663.20021430679196</v>
      </c>
      <c r="X86" s="25">
        <f>+U86*1000/(Population!AM87*Population!X87)</f>
        <v>186.08548456489626</v>
      </c>
      <c r="Y86" s="25">
        <f>+resteconomy!Q86/(resteconomy!B86*Population!X87)</f>
        <v>55.789735301452559</v>
      </c>
      <c r="Z86" s="25">
        <f>+'Agricultural production'!AN87</f>
        <v>66.799531867485754</v>
      </c>
      <c r="AA86" s="25">
        <f>+Population!AM87*X86+Population!AL87*'incomeVOC and total income'!Z86+Population!AN87*'incomeVOC and total income'!Y86</f>
        <v>75.491093860929951</v>
      </c>
      <c r="AB86" s="25">
        <f>+(X86*100)/+'total economy'!L86</f>
        <v>248.7702954090573</v>
      </c>
      <c r="AC86" s="25"/>
      <c r="AD86" s="25"/>
    </row>
    <row r="87" spans="1:30" ht="15" x14ac:dyDescent="0.25">
      <c r="A87">
        <v>1785</v>
      </c>
      <c r="B87" s="82">
        <v>161498</v>
      </c>
      <c r="C87" s="82">
        <v>325668</v>
      </c>
      <c r="D87" s="82">
        <v>164170</v>
      </c>
      <c r="E87">
        <f>+'Wissel transfers from the Cape'!B86</f>
        <v>804228</v>
      </c>
      <c r="F87" s="25">
        <f t="shared" si="25"/>
        <v>640058</v>
      </c>
      <c r="G87" s="34">
        <v>156.77798137339684</v>
      </c>
      <c r="H87" s="25">
        <f t="shared" si="24"/>
        <v>70313.537952064551</v>
      </c>
      <c r="I87" s="25">
        <f t="shared" si="21"/>
        <v>719526.21484966774</v>
      </c>
      <c r="J87" s="25">
        <v>749297.71726468462</v>
      </c>
      <c r="M87">
        <f>+'Company establishment'!B87</f>
        <v>2155</v>
      </c>
      <c r="N87" s="25">
        <f t="shared" si="26"/>
        <v>151.12204176334106</v>
      </c>
      <c r="O87" s="25">
        <f t="shared" si="27"/>
        <v>333.88687464021706</v>
      </c>
      <c r="P87" s="25">
        <f t="shared" si="22"/>
        <v>247.78363666160206</v>
      </c>
      <c r="Q87" s="25">
        <v>869</v>
      </c>
      <c r="S87" s="25">
        <f>0.1*'Gross receipts from VOC sales'!B89+0.1*'Exports in money value'!B90</f>
        <v>11809.7</v>
      </c>
      <c r="U87" s="25">
        <f t="shared" si="23"/>
        <v>761.10741726468461</v>
      </c>
      <c r="X87" s="25">
        <f>+U87*1000/(Population!AM88*Population!X88)</f>
        <v>186.50241078956603</v>
      </c>
      <c r="Y87" s="25">
        <f>+resteconomy!Q87/(resteconomy!B87*Population!X88)</f>
        <v>64.579312542943399</v>
      </c>
      <c r="Z87" s="25">
        <f>+'Agricultural production'!AN88</f>
        <v>65.729097495158598</v>
      </c>
      <c r="AA87" s="25">
        <f>+Population!AM88*X87+Population!AL88*'incomeVOC and total income'!Z87+Population!AN88*'incomeVOC and total income'!Y87</f>
        <v>79.166656674385067</v>
      </c>
      <c r="AB87" s="25">
        <f>+(X87*100)/+'total economy'!L87</f>
        <v>255.9653518167118</v>
      </c>
      <c r="AC87" s="25"/>
      <c r="AD87" s="25"/>
    </row>
    <row r="88" spans="1:30" ht="15" x14ac:dyDescent="0.25">
      <c r="A88">
        <v>1786</v>
      </c>
      <c r="B88" s="82">
        <f>+C88*0.5</f>
        <v>186498</v>
      </c>
      <c r="C88" s="82">
        <v>372996</v>
      </c>
      <c r="D88" s="82">
        <f t="shared" ref="D88:D91" si="28">+C88-B88</f>
        <v>186498</v>
      </c>
      <c r="E88">
        <f>+'Wissel transfers from the Cape'!B87</f>
        <v>276731</v>
      </c>
      <c r="F88" s="25">
        <f t="shared" si="25"/>
        <v>90233</v>
      </c>
      <c r="G88" s="34">
        <v>184.09649854484476</v>
      </c>
      <c r="H88" s="25">
        <f t="shared" si="24"/>
        <v>88734.129163342455</v>
      </c>
      <c r="I88" s="25">
        <f t="shared" si="21"/>
        <v>511283.33562150958</v>
      </c>
      <c r="J88" s="25">
        <v>547016.92575139122</v>
      </c>
      <c r="M88">
        <f>+'Company establishment'!B88</f>
        <v>2316</v>
      </c>
      <c r="N88" s="25">
        <f t="shared" si="26"/>
        <v>161.05181347150258</v>
      </c>
      <c r="O88" s="25">
        <f t="shared" si="27"/>
        <v>220.76137116645492</v>
      </c>
      <c r="P88" s="25">
        <f t="shared" si="22"/>
        <v>170.71605703406138</v>
      </c>
      <c r="Q88" s="25">
        <v>888.25</v>
      </c>
      <c r="S88" s="25">
        <f>0.1*'Gross receipts from VOC sales'!B90+0.1*'Exports in money value'!B91</f>
        <v>11339.8</v>
      </c>
      <c r="U88" s="25">
        <f t="shared" si="23"/>
        <v>558.35672575139131</v>
      </c>
      <c r="X88" s="25">
        <f>+U88*1000/(Population!AM89*Population!X89)</f>
        <v>128.25258709765382</v>
      </c>
      <c r="Y88" s="25">
        <f>+resteconomy!Q88/(resteconomy!B88*Population!X89)</f>
        <v>69.501822508838103</v>
      </c>
      <c r="Z88" s="25">
        <f>+'Agricultural production'!AN89</f>
        <v>65.034074279521136</v>
      </c>
      <c r="AA88" s="25">
        <f>+Population!AM89*X88+Population!AL89*'incomeVOC and total income'!Z88+Population!AN89*'incomeVOC and total income'!Y88</f>
        <v>73.325659889675194</v>
      </c>
      <c r="AB88" s="25">
        <f>+(X88*100)/+'total economy'!L88</f>
        <v>148.31710248880663</v>
      </c>
      <c r="AC88" s="25"/>
      <c r="AD88" s="25"/>
    </row>
    <row r="89" spans="1:30" ht="15" x14ac:dyDescent="0.25">
      <c r="A89">
        <v>1787</v>
      </c>
      <c r="B89" s="82">
        <f t="shared" ref="B89:B91" si="29">+C89*0.5</f>
        <v>216690</v>
      </c>
      <c r="C89" s="82">
        <v>433380</v>
      </c>
      <c r="D89" s="82">
        <f t="shared" si="28"/>
        <v>216690</v>
      </c>
      <c r="E89">
        <f>+'Wissel transfers from the Cape'!B88</f>
        <v>994950</v>
      </c>
      <c r="F89" s="25">
        <f t="shared" si="25"/>
        <v>778260</v>
      </c>
      <c r="G89" s="34">
        <v>377.25577819853851</v>
      </c>
      <c r="H89" s="25">
        <f t="shared" si="24"/>
        <v>228708.86199632526</v>
      </c>
      <c r="I89" s="25">
        <f t="shared" si="21"/>
        <v>1062654.3050961415</v>
      </c>
      <c r="J89" s="25">
        <v>1137467.5412357736</v>
      </c>
      <c r="M89">
        <f>+'Company establishment'!B89</f>
        <v>2913</v>
      </c>
      <c r="N89" s="25">
        <f t="shared" si="26"/>
        <v>148.77445932028837</v>
      </c>
      <c r="O89" s="25">
        <f t="shared" si="27"/>
        <v>364.79722111093082</v>
      </c>
      <c r="P89" s="25">
        <f t="shared" si="22"/>
        <v>297.72740249594909</v>
      </c>
      <c r="Q89" s="25">
        <v>907.5</v>
      </c>
      <c r="S89" s="25">
        <f>0.1*'Gross receipts from VOC sales'!B91+0.1*'Exports in money value'!B92</f>
        <v>15239.7</v>
      </c>
      <c r="U89" s="25">
        <f t="shared" si="23"/>
        <v>1152.7072412357736</v>
      </c>
      <c r="X89" s="25">
        <f>+U89*1000/(Population!AM90*Population!X90)</f>
        <v>218.18594864235601</v>
      </c>
      <c r="Y89" s="25">
        <f>+resteconomy!Q89/(resteconomy!B89*Population!X90)</f>
        <v>72.179069013026492</v>
      </c>
      <c r="Z89" s="25">
        <f>+'Agricultural production'!AN90</f>
        <v>78.0638659176538</v>
      </c>
      <c r="AA89" s="25">
        <f>+Population!AM90*X89+Population!AL90*'incomeVOC and total income'!Z89+Population!AN90*'incomeVOC and total income'!Y89</f>
        <v>94.404107019453278</v>
      </c>
      <c r="AB89" s="25">
        <f>+(X89*100)/+'total economy'!L89</f>
        <v>275.37024358543778</v>
      </c>
      <c r="AC89" s="25"/>
      <c r="AD89" s="25"/>
    </row>
    <row r="90" spans="1:30" ht="15" x14ac:dyDescent="0.25">
      <c r="A90">
        <v>1788</v>
      </c>
      <c r="B90" s="82">
        <f t="shared" si="29"/>
        <v>233190</v>
      </c>
      <c r="C90" s="82">
        <v>466380</v>
      </c>
      <c r="D90" s="82">
        <f t="shared" si="28"/>
        <v>233190</v>
      </c>
      <c r="E90">
        <f>+'Wissel transfers from the Cape'!B89</f>
        <v>529421</v>
      </c>
      <c r="F90" s="25">
        <f t="shared" si="25"/>
        <v>296231</v>
      </c>
      <c r="G90" s="34">
        <v>162.77918417068415</v>
      </c>
      <c r="H90" s="25">
        <f t="shared" si="24"/>
        <v>109930.99950756921</v>
      </c>
      <c r="I90" s="25">
        <f t="shared" si="21"/>
        <v>729923.04948294768</v>
      </c>
      <c r="J90" s="25">
        <v>762888.37505561998</v>
      </c>
      <c r="M90">
        <f>+'Company establishment'!B90</f>
        <v>3245</v>
      </c>
      <c r="N90" s="25">
        <f t="shared" si="26"/>
        <v>143.72265023112482</v>
      </c>
      <c r="O90" s="25">
        <f t="shared" si="27"/>
        <v>224.93776563419036</v>
      </c>
      <c r="P90" s="25">
        <f t="shared" si="22"/>
        <v>182.87010848100198</v>
      </c>
      <c r="Q90" s="25">
        <v>926.75</v>
      </c>
      <c r="S90" s="25">
        <f>0.1*'Gross receipts from VOC sales'!B92+0.1*'Exports in money value'!B93</f>
        <v>21443.300000000003</v>
      </c>
      <c r="U90" s="25">
        <f t="shared" si="23"/>
        <v>784.33167505562005</v>
      </c>
      <c r="X90" s="25">
        <f>+U90*1000/(Population!AM91*Population!X91)</f>
        <v>134.75753667123894</v>
      </c>
      <c r="Y90" s="25">
        <f>+resteconomy!Q90/(resteconomy!B90*Population!X91)</f>
        <v>65.660775307576714</v>
      </c>
      <c r="Z90" s="25">
        <f>+'Agricultural production'!AN91</f>
        <v>75.518990886745144</v>
      </c>
      <c r="AA90" s="25">
        <f>+Population!AM91*X90+Population!AL91*'incomeVOC and total income'!Z90+Population!AN91*'incomeVOC and total income'!Y90</f>
        <v>81.37739555239537</v>
      </c>
      <c r="AB90" s="25">
        <f>+(X90*100)/+'total economy'!L90</f>
        <v>181.83250926489706</v>
      </c>
      <c r="AC90" s="25"/>
      <c r="AD90" s="25"/>
    </row>
    <row r="91" spans="1:30" ht="15" x14ac:dyDescent="0.25">
      <c r="A91">
        <v>1789</v>
      </c>
      <c r="B91" s="82">
        <f t="shared" si="29"/>
        <v>232152</v>
      </c>
      <c r="C91" s="82">
        <v>464304</v>
      </c>
      <c r="D91" s="82">
        <f t="shared" si="28"/>
        <v>232152</v>
      </c>
      <c r="E91">
        <f>+'Wissel transfers from the Cape'!B90</f>
        <v>499820</v>
      </c>
      <c r="F91" s="25">
        <f t="shared" si="25"/>
        <v>267668</v>
      </c>
      <c r="G91" s="34">
        <v>169.74695396151228</v>
      </c>
      <c r="H91" s="25">
        <f t="shared" si="24"/>
        <v>119829.69153745049</v>
      </c>
      <c r="I91" s="25">
        <f t="shared" si="21"/>
        <v>723959.17611432308</v>
      </c>
      <c r="J91" s="25">
        <v>759049.63383960305</v>
      </c>
      <c r="M91">
        <f>+'Company establishment'!B91</f>
        <v>3392</v>
      </c>
      <c r="N91" s="25">
        <f t="shared" si="26"/>
        <v>136.8820754716981</v>
      </c>
      <c r="O91" s="25">
        <f t="shared" si="27"/>
        <v>213.43136088276034</v>
      </c>
      <c r="P91" s="25">
        <f t="shared" si="22"/>
        <v>174.9768634946065</v>
      </c>
      <c r="Q91" s="25">
        <v>946</v>
      </c>
      <c r="S91" s="25">
        <f>0.1*'Gross receipts from VOC sales'!B93+0.1*'Exports in money value'!B94</f>
        <v>14451.8</v>
      </c>
      <c r="U91" s="25">
        <f t="shared" si="23"/>
        <v>773.50143383960312</v>
      </c>
      <c r="X91" s="25">
        <f>+U91*1000/(Population!AM92*Population!X92)</f>
        <v>127.18751776626461</v>
      </c>
      <c r="Y91" s="25">
        <f>+resteconomy!Q91/(resteconomy!B91*Population!X92)</f>
        <v>62.793402200471995</v>
      </c>
      <c r="Z91" s="25">
        <f>+'Agricultural production'!AN92</f>
        <v>65.471287983987224</v>
      </c>
      <c r="AA91" s="25">
        <f>+Population!AM92*X91+Population!AL92*'incomeVOC and total income'!Z91+Population!AN92*'incomeVOC and total income'!Y91</f>
        <v>73.646091203098422</v>
      </c>
      <c r="AB91" s="25">
        <f>+(X91*100)/+'total economy'!L91</f>
        <v>160.44261849004627</v>
      </c>
      <c r="AC91" s="25"/>
      <c r="AD91" s="25"/>
    </row>
    <row r="92" spans="1:30" ht="15" x14ac:dyDescent="0.25">
      <c r="A92">
        <f>+A91+1</f>
        <v>1790</v>
      </c>
      <c r="B92" s="82"/>
      <c r="C92" s="82">
        <f>+M92*140</f>
        <v>449260</v>
      </c>
      <c r="D92" s="82"/>
      <c r="G92" s="34">
        <v>171.17756088754606</v>
      </c>
      <c r="H92" s="25">
        <f t="shared" si="24"/>
        <v>114320.24825975762</v>
      </c>
      <c r="I92" s="25">
        <f t="shared" si="21"/>
        <v>569296.26067274553</v>
      </c>
      <c r="J92" s="25">
        <v>596658.84237486869</v>
      </c>
      <c r="M92">
        <f>+'Company establishment'!B92</f>
        <v>3209</v>
      </c>
      <c r="N92" s="25">
        <f t="shared" si="26"/>
        <v>140</v>
      </c>
      <c r="O92" s="25">
        <f t="shared" si="27"/>
        <v>177.4061267288082</v>
      </c>
      <c r="P92" s="25">
        <f t="shared" si="22"/>
        <v>151.41703904957967</v>
      </c>
      <c r="Q92" s="25">
        <f>+(Q91+Q93)/2</f>
        <v>731.5</v>
      </c>
      <c r="S92" s="25">
        <f>0.1*'Gross receipts from VOC sales'!B94+0.1*'Exports in money value'!B95</f>
        <v>14840.6</v>
      </c>
      <c r="U92" s="25">
        <f t="shared" si="23"/>
        <v>611.49944237486864</v>
      </c>
      <c r="X92" s="25">
        <f>+U92*1000/(Population!AM93*Population!X93)</f>
        <v>109.01178622144134</v>
      </c>
      <c r="Y92" s="25">
        <f>+resteconomy!Q92/(resteconomy!B92*Population!X93)</f>
        <v>60.077324623908737</v>
      </c>
      <c r="Z92" s="25">
        <f>+'Agricultural production'!AN93</f>
        <v>67.907258534133859</v>
      </c>
      <c r="AA92" s="25">
        <f>+Population!AM93*X92+Population!AL93*'incomeVOC and total income'!Z92+Population!AN93*'incomeVOC and total income'!Y92</f>
        <v>71.068233564993136</v>
      </c>
      <c r="AB92" s="25">
        <f>+(X92*100)/+'total economy'!L92</f>
        <v>136.84768422217905</v>
      </c>
      <c r="AC92" s="25"/>
      <c r="AD92" s="25"/>
    </row>
    <row r="93" spans="1:30" ht="15" x14ac:dyDescent="0.25">
      <c r="A93">
        <f t="shared" ref="A93:A98" si="30">+A92+1</f>
        <v>1791</v>
      </c>
      <c r="B93" s="82"/>
      <c r="C93" s="82">
        <f t="shared" ref="C93:C96" si="31">+M93*140</f>
        <v>404600</v>
      </c>
      <c r="D93" s="82"/>
      <c r="G93" s="34">
        <v>172.04026449700277</v>
      </c>
      <c r="H93" s="25">
        <f t="shared" si="24"/>
        <v>103474.78967665724</v>
      </c>
      <c r="I93" s="25">
        <f t="shared" si="21"/>
        <v>513248.52916049008</v>
      </c>
      <c r="J93" s="25">
        <v>532684.9615397196</v>
      </c>
      <c r="M93">
        <f>+'Company establishment'!B93</f>
        <v>2890</v>
      </c>
      <c r="N93" s="25">
        <f t="shared" si="26"/>
        <v>140</v>
      </c>
      <c r="O93" s="25">
        <f t="shared" si="27"/>
        <v>177.59464676833568</v>
      </c>
      <c r="P93" s="25">
        <f t="shared" si="22"/>
        <v>156.35015014373926</v>
      </c>
      <c r="Q93" s="25">
        <v>517</v>
      </c>
      <c r="S93" s="25">
        <f>0.1*'Gross receipts from VOC sales'!B95+0.1*'Exports in money value'!B96</f>
        <v>21414</v>
      </c>
      <c r="U93" s="25">
        <f t="shared" si="23"/>
        <v>554.09896153971965</v>
      </c>
      <c r="X93" s="25">
        <f>+U93*1000/(Population!AM94*Population!X94)</f>
        <v>112.44332844809189</v>
      </c>
      <c r="Y93" s="25">
        <f>+resteconomy!Q93/(resteconomy!B93*Population!X94)</f>
        <v>59.453984251765313</v>
      </c>
      <c r="Z93" s="25">
        <f>+'Agricultural production'!AN94</f>
        <v>69.451388553843799</v>
      </c>
      <c r="AA93" s="25">
        <f>+Population!AM94*X93+Population!AL94*'incomeVOC and total income'!Z93+Population!AN94*'incomeVOC and total income'!Y93</f>
        <v>71.672074242624618</v>
      </c>
      <c r="AB93" s="25">
        <f>+(X93*100)/+'total economy'!L93</f>
        <v>141.15576132367337</v>
      </c>
      <c r="AC93" s="25"/>
      <c r="AD93" s="25"/>
    </row>
    <row r="94" spans="1:30" ht="15" x14ac:dyDescent="0.25">
      <c r="A94">
        <f t="shared" si="30"/>
        <v>1792</v>
      </c>
      <c r="B94" s="82"/>
      <c r="C94" s="82">
        <f t="shared" si="31"/>
        <v>303520</v>
      </c>
      <c r="D94" s="82"/>
      <c r="G94" s="34">
        <v>170.42914676275237</v>
      </c>
      <c r="H94" s="25">
        <f t="shared" si="24"/>
        <v>76897.063513350091</v>
      </c>
      <c r="I94" s="25">
        <f t="shared" si="21"/>
        <v>384261.91668901761</v>
      </c>
      <c r="J94" s="25">
        <v>404726.71522251167</v>
      </c>
      <c r="M94">
        <f>+'Company establishment'!B94</f>
        <v>2168</v>
      </c>
      <c r="N94" s="25">
        <f t="shared" si="26"/>
        <v>140</v>
      </c>
      <c r="O94" s="25">
        <f t="shared" si="27"/>
        <v>177.24258149862436</v>
      </c>
      <c r="P94" s="25">
        <f t="shared" si="22"/>
        <v>148.93347386292979</v>
      </c>
      <c r="Q94" s="25">
        <f>+(Q93+Q95)/2</f>
        <v>549.5</v>
      </c>
      <c r="S94" s="25">
        <f>0.1*'Gross receipts from VOC sales'!B96+0.1*'Exports in money value'!B97</f>
        <v>12850.900000000001</v>
      </c>
      <c r="U94" s="25">
        <f t="shared" si="23"/>
        <v>417.57761522251172</v>
      </c>
      <c r="X94" s="25">
        <f>+U94*1000/(Population!AM95*Population!X95)</f>
        <v>107.85018777073077</v>
      </c>
      <c r="Y94" s="25">
        <f>+resteconomy!Q94/(resteconomy!B94*Population!X95)</f>
        <v>57.065684214988408</v>
      </c>
      <c r="Z94" s="25">
        <f>+'Agricultural production'!AN95</f>
        <v>63.341009435737085</v>
      </c>
      <c r="AA94" s="25">
        <f>+Population!AM95*X94+Population!AL95*'incomeVOC and total income'!Z94+Population!AN95*'incomeVOC and total income'!Y94</f>
        <v>65.446214221301162</v>
      </c>
      <c r="AB94" s="25">
        <f>+(X94*100)/+'total economy'!L94</f>
        <v>136.04261182736465</v>
      </c>
      <c r="AC94" s="25"/>
      <c r="AD94" s="25"/>
    </row>
    <row r="95" spans="1:30" ht="15" x14ac:dyDescent="0.25">
      <c r="A95">
        <f t="shared" si="30"/>
        <v>1793</v>
      </c>
      <c r="B95" s="82"/>
      <c r="C95" s="82">
        <f t="shared" si="31"/>
        <v>326340</v>
      </c>
      <c r="D95" s="82"/>
      <c r="G95" s="34">
        <v>117.73138095472281</v>
      </c>
      <c r="H95" s="25">
        <f t="shared" si="24"/>
        <v>57113.808325797894</v>
      </c>
      <c r="I95" s="25">
        <f t="shared" si="21"/>
        <v>386309.4987420878</v>
      </c>
      <c r="J95" s="25">
        <v>401282.57822209428</v>
      </c>
      <c r="M95">
        <f>+'Company establishment'!B95</f>
        <v>2331</v>
      </c>
      <c r="N95" s="25">
        <f t="shared" si="26"/>
        <v>140</v>
      </c>
      <c r="O95" s="25">
        <f t="shared" si="27"/>
        <v>165.72694068729635</v>
      </c>
      <c r="P95" s="25">
        <f t="shared" si="22"/>
        <v>137.75577693858369</v>
      </c>
      <c r="Q95" s="25">
        <v>582</v>
      </c>
      <c r="S95" s="25">
        <f>0.1*'Gross receipts from VOC sales'!B97+0.1*'Exports in money value'!B98</f>
        <v>20328.7</v>
      </c>
      <c r="U95" s="25">
        <f t="shared" si="23"/>
        <v>421.61127822209431</v>
      </c>
      <c r="X95" s="25">
        <f>+U95*1000/(Population!AM96*Population!X96)</f>
        <v>101.13581981913767</v>
      </c>
      <c r="Y95" s="25">
        <f>+resteconomy!Q95/(resteconomy!B95*Population!X96)</f>
        <v>60.060791116137466</v>
      </c>
      <c r="Z95" s="25">
        <f>+'Agricultural production'!AN96</f>
        <v>61.68057539684375</v>
      </c>
      <c r="AA95" s="25">
        <f>+Population!AM96*X95+Population!AL96*'incomeVOC and total income'!Z95+Population!AN96*'incomeVOC and total income'!Y95</f>
        <v>64.760888948123224</v>
      </c>
      <c r="AB95" s="25">
        <f>+(X95*100)/+'total economy'!L95</f>
        <v>133.5450662069828</v>
      </c>
      <c r="AC95" s="25"/>
      <c r="AD95" s="25"/>
    </row>
    <row r="96" spans="1:30" ht="15" x14ac:dyDescent="0.25">
      <c r="A96">
        <f t="shared" si="30"/>
        <v>1794</v>
      </c>
      <c r="C96">
        <f t="shared" si="31"/>
        <v>0</v>
      </c>
      <c r="G96" s="34">
        <v>118.03893720006465</v>
      </c>
      <c r="H96" s="25">
        <f t="shared" si="24"/>
        <v>0</v>
      </c>
      <c r="J96" s="25">
        <v>14393.134923104657</v>
      </c>
      <c r="N96" s="25"/>
      <c r="O96" s="25"/>
      <c r="P96" s="25"/>
      <c r="Q96" s="25">
        <f>+(Q95+Q97)/2</f>
        <v>558</v>
      </c>
      <c r="S96" s="25">
        <f>0.1*'Gross receipts from VOC sales'!B98+0.1*'Exports in money value'!B99</f>
        <v>7000</v>
      </c>
      <c r="AB96" s="25"/>
      <c r="AC96" s="25"/>
      <c r="AD96" s="25"/>
    </row>
    <row r="97" spans="1:30" x14ac:dyDescent="0.2">
      <c r="A97">
        <f t="shared" si="30"/>
        <v>1795</v>
      </c>
      <c r="N97" s="25"/>
      <c r="O97" s="25"/>
      <c r="P97" s="25"/>
      <c r="Q97" s="25">
        <v>534</v>
      </c>
      <c r="S97" s="25" t="e">
        <f>0.1*'Gross receipts from VOC sales'!B99+0.1*'Exports in money value'!B100</f>
        <v>#VALUE!</v>
      </c>
      <c r="AB97" s="25"/>
      <c r="AC97" s="25"/>
      <c r="AD97" s="25"/>
    </row>
    <row r="98" spans="1:30" x14ac:dyDescent="0.2">
      <c r="A98">
        <f t="shared" si="30"/>
        <v>1796</v>
      </c>
      <c r="AB98" s="25"/>
      <c r="AC98" s="25"/>
      <c r="AD98" s="25"/>
    </row>
    <row r="99" spans="1:30" x14ac:dyDescent="0.2">
      <c r="AB99" s="25"/>
      <c r="AC99" s="25"/>
      <c r="AD99" s="25"/>
    </row>
    <row r="100" spans="1:30" x14ac:dyDescent="0.2">
      <c r="A100" t="s">
        <v>329</v>
      </c>
      <c r="AB100" s="25"/>
      <c r="AC100" s="25"/>
      <c r="AD100" s="25"/>
    </row>
    <row r="101" spans="1:30" x14ac:dyDescent="0.2">
      <c r="A101" t="s">
        <v>323</v>
      </c>
      <c r="AB101" s="25"/>
      <c r="AC101" s="25"/>
      <c r="AD101" s="25"/>
    </row>
    <row r="102" spans="1:30" x14ac:dyDescent="0.2">
      <c r="AB102" s="25"/>
      <c r="AC102" s="25"/>
      <c r="AD102" s="25"/>
    </row>
    <row r="103" spans="1:30" x14ac:dyDescent="0.2">
      <c r="AB103" s="25"/>
      <c r="AC103" s="25"/>
      <c r="AD103" s="25"/>
    </row>
    <row r="104" spans="1:30" x14ac:dyDescent="0.2">
      <c r="AB104" s="25"/>
      <c r="AC104" s="25"/>
      <c r="AD104" s="25"/>
    </row>
  </sheetData>
  <phoneticPr fontId="5"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9"/>
  <sheetViews>
    <sheetView workbookViewId="0">
      <selection activeCell="A9" sqref="A9"/>
    </sheetView>
  </sheetViews>
  <sheetFormatPr defaultRowHeight="12.75" x14ac:dyDescent="0.2"/>
  <cols>
    <col min="5" max="5" width="9.5703125" bestFit="1" customWidth="1"/>
    <col min="6" max="7" width="9.5703125" customWidth="1"/>
    <col min="37" max="39" width="9.5703125" bestFit="1" customWidth="1"/>
  </cols>
  <sheetData>
    <row r="1" spans="1:47" x14ac:dyDescent="0.2">
      <c r="A1" s="27" t="s">
        <v>345</v>
      </c>
      <c r="B1" s="27" t="s">
        <v>353</v>
      </c>
      <c r="H1" s="27" t="s">
        <v>352</v>
      </c>
      <c r="Q1" t="s">
        <v>182</v>
      </c>
      <c r="S1" t="s">
        <v>185</v>
      </c>
      <c r="X1" t="s">
        <v>303</v>
      </c>
      <c r="Y1" s="27" t="s">
        <v>351</v>
      </c>
      <c r="AJ1" s="27" t="s">
        <v>354</v>
      </c>
      <c r="AN1" s="27" t="s">
        <v>355</v>
      </c>
      <c r="AO1" s="27"/>
      <c r="AP1" s="27" t="s">
        <v>356</v>
      </c>
    </row>
    <row r="2" spans="1:47" s="5" customFormat="1" x14ac:dyDescent="0.2">
      <c r="A2" s="27" t="s">
        <v>0</v>
      </c>
      <c r="B2" s="27" t="s">
        <v>51</v>
      </c>
      <c r="C2" s="27" t="s">
        <v>346</v>
      </c>
      <c r="D2" s="27" t="s">
        <v>231</v>
      </c>
      <c r="E2" s="27" t="s">
        <v>232</v>
      </c>
      <c r="F2" s="27" t="s">
        <v>348</v>
      </c>
      <c r="G2" s="27" t="s">
        <v>233</v>
      </c>
      <c r="H2" s="27" t="s">
        <v>53</v>
      </c>
      <c r="I2" s="27"/>
      <c r="J2" s="27" t="s">
        <v>54</v>
      </c>
      <c r="K2" s="27"/>
      <c r="L2" s="27" t="s">
        <v>55</v>
      </c>
      <c r="M2" s="27"/>
      <c r="N2" s="27" t="s">
        <v>350</v>
      </c>
      <c r="O2" s="27" t="s">
        <v>187</v>
      </c>
      <c r="P2" s="27" t="s">
        <v>199</v>
      </c>
      <c r="Q2" s="27" t="s">
        <v>183</v>
      </c>
      <c r="R2" s="27" t="s">
        <v>82</v>
      </c>
      <c r="S2" s="27"/>
      <c r="T2" s="27"/>
      <c r="U2" s="27" t="s">
        <v>200</v>
      </c>
      <c r="V2" s="27"/>
      <c r="W2" s="27" t="s">
        <v>197</v>
      </c>
      <c r="X2" s="27"/>
      <c r="Y2" s="27" t="s">
        <v>248</v>
      </c>
      <c r="Z2" s="27"/>
      <c r="AA2" s="27" t="s">
        <v>252</v>
      </c>
      <c r="AB2" s="27" t="s">
        <v>306</v>
      </c>
      <c r="AC2" s="27" t="s">
        <v>308</v>
      </c>
      <c r="AD2" s="27"/>
      <c r="AE2" s="27"/>
      <c r="AF2" s="27" t="s">
        <v>256</v>
      </c>
      <c r="AG2" s="27"/>
      <c r="AH2" s="27"/>
      <c r="AI2" s="27" t="s">
        <v>309</v>
      </c>
      <c r="AJ2" s="27" t="s">
        <v>259</v>
      </c>
      <c r="AK2" s="27" t="s">
        <v>179</v>
      </c>
      <c r="AL2" s="27"/>
      <c r="AM2" s="27"/>
      <c r="AN2" s="27" t="s">
        <v>261</v>
      </c>
      <c r="AO2" s="27"/>
      <c r="AP2" s="27" t="s">
        <v>263</v>
      </c>
      <c r="AQ2" s="27" t="s">
        <v>260</v>
      </c>
      <c r="AR2" s="27" t="s">
        <v>56</v>
      </c>
      <c r="AS2" s="27" t="s">
        <v>262</v>
      </c>
      <c r="AT2" s="27"/>
    </row>
    <row r="3" spans="1:47" s="5" customFormat="1" x14ac:dyDescent="0.2">
      <c r="A3" s="27"/>
      <c r="B3" s="27"/>
      <c r="C3" s="27" t="s">
        <v>347</v>
      </c>
      <c r="D3" s="27" t="s">
        <v>52</v>
      </c>
      <c r="E3" s="27" t="s">
        <v>52</v>
      </c>
      <c r="F3" s="27" t="s">
        <v>349</v>
      </c>
      <c r="G3" s="27" t="s">
        <v>234</v>
      </c>
      <c r="H3" s="27" t="s">
        <v>57</v>
      </c>
      <c r="I3" s="27" t="s">
        <v>58</v>
      </c>
      <c r="J3" s="27" t="s">
        <v>57</v>
      </c>
      <c r="K3" s="27" t="s">
        <v>58</v>
      </c>
      <c r="L3" s="27" t="s">
        <v>57</v>
      </c>
      <c r="M3" s="27" t="s">
        <v>58</v>
      </c>
      <c r="N3" s="27" t="s">
        <v>58</v>
      </c>
      <c r="O3" s="27" t="s">
        <v>188</v>
      </c>
      <c r="P3" s="27"/>
      <c r="Q3" s="27" t="s">
        <v>184</v>
      </c>
      <c r="R3" s="27"/>
      <c r="S3" s="27" t="s">
        <v>186</v>
      </c>
      <c r="T3" s="27"/>
      <c r="U3" s="27"/>
      <c r="V3" s="27" t="s">
        <v>201</v>
      </c>
      <c r="W3" s="27" t="s">
        <v>198</v>
      </c>
      <c r="X3" s="27"/>
      <c r="Y3" s="27" t="s">
        <v>249</v>
      </c>
      <c r="Z3" s="27" t="s">
        <v>250</v>
      </c>
      <c r="AA3" s="27" t="s">
        <v>251</v>
      </c>
      <c r="AB3" s="27" t="s">
        <v>307</v>
      </c>
      <c r="AC3" s="27"/>
      <c r="AD3" s="27"/>
      <c r="AE3" s="27" t="s">
        <v>255</v>
      </c>
      <c r="AF3" s="27"/>
      <c r="AG3" s="27" t="s">
        <v>257</v>
      </c>
      <c r="AH3" s="27" t="s">
        <v>258</v>
      </c>
      <c r="AI3" s="27"/>
      <c r="AJ3" s="27" t="s">
        <v>271</v>
      </c>
      <c r="AK3" s="27" t="s">
        <v>254</v>
      </c>
      <c r="AL3" s="27" t="s">
        <v>260</v>
      </c>
      <c r="AM3" s="27" t="s">
        <v>56</v>
      </c>
      <c r="AN3" s="27" t="s">
        <v>265</v>
      </c>
      <c r="AO3" s="27"/>
      <c r="AP3" s="27"/>
      <c r="AQ3" s="27"/>
      <c r="AR3" s="27"/>
      <c r="AS3" s="27"/>
      <c r="AT3" s="27" t="s">
        <v>264</v>
      </c>
    </row>
    <row r="4" spans="1:47" x14ac:dyDescent="0.2">
      <c r="A4">
        <v>1701</v>
      </c>
      <c r="B4">
        <v>1664400</v>
      </c>
      <c r="C4" s="25">
        <v>1135</v>
      </c>
      <c r="D4" s="25"/>
      <c r="E4" s="25">
        <f>+C4*0.8</f>
        <v>908</v>
      </c>
      <c r="F4" s="24">
        <f>+E4/(Population!AE4+Population!AG4)</f>
        <v>0.54688348650794516</v>
      </c>
      <c r="G4" s="25">
        <f>+C4+(Population!V4-Population!AE4)*0.3</f>
        <v>1903.3473682803683</v>
      </c>
      <c r="H4" s="25">
        <v>646</v>
      </c>
      <c r="I4" s="25">
        <v>3868</v>
      </c>
      <c r="J4" s="25">
        <v>58.5</v>
      </c>
      <c r="K4" s="25">
        <v>584</v>
      </c>
      <c r="L4" s="25">
        <v>365</v>
      </c>
      <c r="M4">
        <v>2496</v>
      </c>
      <c r="N4" s="25">
        <f>SUM(M4,K4,I4)</f>
        <v>6948</v>
      </c>
      <c r="O4" s="25">
        <f>+N4</f>
        <v>6948</v>
      </c>
      <c r="P4" s="25">
        <f>+O4*W4</f>
        <v>9032.4</v>
      </c>
      <c r="Q4" s="25">
        <f>2.5*Population!U4+1.25*(Population!V4-Population!U4)</f>
        <v>8411.6687499999989</v>
      </c>
      <c r="S4" s="33">
        <f>+X4*40</f>
        <v>2640</v>
      </c>
      <c r="T4">
        <f>+A4</f>
        <v>1701</v>
      </c>
      <c r="U4" s="25">
        <f>+S4+R4+Q4</f>
        <v>11051.668749999999</v>
      </c>
      <c r="V4" s="25">
        <f>+O4*W4</f>
        <v>9032.4</v>
      </c>
      <c r="W4">
        <v>1.3</v>
      </c>
      <c r="X4">
        <v>66</v>
      </c>
      <c r="Y4" s="25">
        <f>+'Livestock in possession'!AD3/1000</f>
        <v>1236.414538630137</v>
      </c>
      <c r="Z4" s="40">
        <f>+('Meat supplied to the Company'!Q3*0.2+'Meat supplied to the Company'!R3*0.8)</f>
        <v>8.2142857142857142E-2</v>
      </c>
      <c r="AA4" s="25">
        <f>+Y4*Z4</f>
        <v>101.56262281604697</v>
      </c>
      <c r="AB4" s="25"/>
      <c r="AC4" s="25">
        <f>+AB4+AA4</f>
        <v>101.56262281604697</v>
      </c>
      <c r="AD4" s="25"/>
      <c r="AE4" s="24">
        <f>+'Exports in money value'!J6</f>
        <v>8.5</v>
      </c>
      <c r="AF4" s="25">
        <f>+AE4*(U4+V4)/2000</f>
        <v>85.357292187499993</v>
      </c>
      <c r="AG4" s="41">
        <v>47.768091862581976</v>
      </c>
      <c r="AH4" s="25">
        <f>+AG4*G4/1000</f>
        <v>90.91927193442028</v>
      </c>
      <c r="AI4" s="25">
        <v>60</v>
      </c>
      <c r="AJ4" s="25">
        <f>+AH4+AF4+AC4+AI4</f>
        <v>337.83918693796727</v>
      </c>
      <c r="AK4" s="24">
        <f>+AC4/AJ4</f>
        <v>0.30062416304209111</v>
      </c>
      <c r="AL4" s="24">
        <f>+AF4/AJ4</f>
        <v>0.2526565759323029</v>
      </c>
      <c r="AM4" s="24">
        <f>+AH4/AJ4</f>
        <v>0.26911997023931544</v>
      </c>
      <c r="AN4" s="25">
        <f>1000*AJ4/(Population!V4*0.596+Population!W4)</f>
        <v>146.63932830499826</v>
      </c>
      <c r="AO4" s="25"/>
      <c r="AP4" s="25">
        <f>+AE4*100/8</f>
        <v>106.25</v>
      </c>
      <c r="AQ4" s="25">
        <f>+Z4*100/0.0938</f>
        <v>87.572342369783726</v>
      </c>
      <c r="AR4" s="25">
        <f>+AG4*100/58.6</f>
        <v>81.515515123860027</v>
      </c>
      <c r="AS4" s="25">
        <f>+AP4*0.4+AQ4*0.3+AR4*0.3</f>
        <v>93.226357248093123</v>
      </c>
      <c r="AT4" s="25">
        <f>100*AN4/AS4</f>
        <v>157.29385190366608</v>
      </c>
      <c r="AU4">
        <f>+A4</f>
        <v>1701</v>
      </c>
    </row>
    <row r="5" spans="1:47" x14ac:dyDescent="0.2">
      <c r="A5">
        <v>1702</v>
      </c>
      <c r="B5">
        <v>1648650</v>
      </c>
      <c r="C5" s="25">
        <v>1025</v>
      </c>
      <c r="D5" s="25"/>
      <c r="E5" s="25">
        <f>+C5*0.8</f>
        <v>820</v>
      </c>
      <c r="F5" s="24">
        <f>+E5/(Population!AE5+Population!AG5)</f>
        <v>0.44417194012408279</v>
      </c>
      <c r="G5" s="25">
        <f>+C5+(Population!V5-Population!AE5)*0.3</f>
        <v>1861.104880902881</v>
      </c>
      <c r="H5" s="25">
        <v>612.25</v>
      </c>
      <c r="I5" s="25">
        <v>4528.5</v>
      </c>
      <c r="J5" s="25">
        <v>55</v>
      </c>
      <c r="K5" s="25">
        <v>475</v>
      </c>
      <c r="L5" s="25">
        <v>350.5</v>
      </c>
      <c r="M5">
        <v>2873</v>
      </c>
      <c r="N5" s="25">
        <f t="shared" ref="N5:N68" si="0">SUM(M5,K5,I5)</f>
        <v>7876.5</v>
      </c>
      <c r="O5" s="25">
        <f t="shared" ref="O5:O68" si="1">+N5</f>
        <v>7876.5</v>
      </c>
      <c r="P5" s="25">
        <f t="shared" ref="P5:P68" si="2">+O5*W5</f>
        <v>10239.450000000001</v>
      </c>
      <c r="Q5" s="25">
        <f>2.5*Population!U5+1.25*(Population!V5-Population!U5)</f>
        <v>9150.0125000000007</v>
      </c>
      <c r="S5" s="33">
        <f t="shared" ref="S5:S68" si="3">+X5*40</f>
        <v>3160</v>
      </c>
      <c r="T5">
        <f>+A5</f>
        <v>1702</v>
      </c>
      <c r="U5" s="25">
        <f t="shared" ref="U5:U68" si="4">+S5+R5+Q5</f>
        <v>12310.012500000001</v>
      </c>
      <c r="V5" s="25">
        <f t="shared" ref="V5:V68" si="5">+O5*W5</f>
        <v>10239.450000000001</v>
      </c>
      <c r="W5">
        <v>1.3</v>
      </c>
      <c r="X5">
        <v>79</v>
      </c>
      <c r="Y5" s="25">
        <f>+'Livestock in possession'!AD4/1000</f>
        <v>1552.4662495185696</v>
      </c>
      <c r="Z5" s="40">
        <f>+('Meat supplied to the Company'!Q4*0.2+'Meat supplied to the Company'!R4*0.8)</f>
        <v>8.2142857142857142E-2</v>
      </c>
      <c r="AA5" s="25">
        <f t="shared" ref="AA5:AA68" si="6">+Y5*Z5</f>
        <v>127.52401335331108</v>
      </c>
      <c r="AB5" s="25"/>
      <c r="AC5" s="25">
        <f t="shared" ref="AC5:AC68" si="7">+AB5+AA5</f>
        <v>127.52401335331108</v>
      </c>
      <c r="AD5" s="25"/>
      <c r="AE5" s="24">
        <f>+'Exports in money value'!J7</f>
        <v>8.5</v>
      </c>
      <c r="AF5" s="25">
        <f t="shared" ref="AF5:AF68" si="8">+AE5*(U5+V5)/2000</f>
        <v>95.835215625000018</v>
      </c>
      <c r="AG5" s="41">
        <v>49.134082712425865</v>
      </c>
      <c r="AH5" s="25">
        <f t="shared" ref="AH5:AH68" si="9">+AG5*G5/1000</f>
        <v>91.443681154781643</v>
      </c>
      <c r="AI5" s="25">
        <v>60</v>
      </c>
      <c r="AJ5" s="25">
        <f t="shared" ref="AJ5:AJ68" si="10">+AH5+AF5+AC5+AI5</f>
        <v>374.80291013309272</v>
      </c>
      <c r="AK5" s="24">
        <f t="shared" ref="AK5:AK68" si="11">+AC5/AJ5</f>
        <v>0.34024285806112664</v>
      </c>
      <c r="AL5" s="24">
        <f t="shared" ref="AL5:AL68" si="12">+AF5/AJ5</f>
        <v>0.2556949613624101</v>
      </c>
      <c r="AM5" s="24">
        <f t="shared" ref="AM5:AM68" si="13">+AH5/AJ5</f>
        <v>0.24397804468036266</v>
      </c>
      <c r="AN5" s="25">
        <f>1000*AJ5/(Population!V5*0.596+Population!W5)</f>
        <v>149.60719002624538</v>
      </c>
      <c r="AO5" s="25"/>
      <c r="AP5" s="25">
        <f t="shared" ref="AP5:AP68" si="14">+AE5*100/8</f>
        <v>106.25</v>
      </c>
      <c r="AQ5" s="25">
        <f t="shared" ref="AQ5:AQ68" si="15">+Z5*100/0.0938</f>
        <v>87.572342369783726</v>
      </c>
      <c r="AR5" s="25">
        <f t="shared" ref="AR5:AR68" si="16">+AG5*100/58.6</f>
        <v>83.84655752973697</v>
      </c>
      <c r="AS5" s="25">
        <f t="shared" ref="AS5:AS68" si="17">+AP5*0.4+AQ5*0.3+AR5*0.3</f>
        <v>93.925669969856202</v>
      </c>
      <c r="AT5" s="25">
        <f t="shared" ref="AT5:AT68" si="18">100*AN5/AS5</f>
        <v>159.28253700427069</v>
      </c>
      <c r="AU5">
        <f>+A5</f>
        <v>1702</v>
      </c>
    </row>
    <row r="6" spans="1:47" x14ac:dyDescent="0.2">
      <c r="A6">
        <v>1703</v>
      </c>
      <c r="B6">
        <v>1746000</v>
      </c>
      <c r="C6" s="25">
        <v>970.5</v>
      </c>
      <c r="D6" s="25"/>
      <c r="E6" s="25">
        <f>+C6*0.8</f>
        <v>776.40000000000009</v>
      </c>
      <c r="F6" s="24">
        <f>+E6/(Population!AE6+Population!AG6)</f>
        <v>0.39407902311614623</v>
      </c>
      <c r="G6" s="25">
        <f>+C6+(Population!V6-Population!AE6)*0.3</f>
        <v>1853.4786575586575</v>
      </c>
      <c r="H6" s="25">
        <v>631.5</v>
      </c>
      <c r="I6" s="25">
        <v>4107.5</v>
      </c>
      <c r="J6" s="25">
        <v>50</v>
      </c>
      <c r="K6" s="25">
        <v>359</v>
      </c>
      <c r="L6" s="25">
        <v>297</v>
      </c>
      <c r="M6">
        <v>1783</v>
      </c>
      <c r="N6" s="25">
        <f t="shared" si="0"/>
        <v>6249.5</v>
      </c>
      <c r="O6" s="25">
        <f t="shared" si="1"/>
        <v>6249.5</v>
      </c>
      <c r="P6" s="25">
        <f t="shared" si="2"/>
        <v>8124.35</v>
      </c>
      <c r="Q6" s="25">
        <f>2.5*Population!U6+1.25*(Population!V6-Population!U6)</f>
        <v>9655.75</v>
      </c>
      <c r="S6" s="33">
        <f t="shared" si="3"/>
        <v>3000</v>
      </c>
      <c r="T6">
        <f>+A6</f>
        <v>1703</v>
      </c>
      <c r="U6" s="25">
        <f t="shared" si="4"/>
        <v>12655.75</v>
      </c>
      <c r="V6" s="25">
        <f t="shared" si="5"/>
        <v>8124.35</v>
      </c>
      <c r="W6">
        <v>1.3</v>
      </c>
      <c r="X6">
        <v>75</v>
      </c>
      <c r="Y6" s="25">
        <f>+'Livestock in possession'!AD5/1000</f>
        <v>1611.2886444700957</v>
      </c>
      <c r="Z6" s="40">
        <f>+('Meat supplied to the Company'!Q5*0.2+'Meat supplied to the Company'!R5*0.8)</f>
        <v>8.2142857142857142E-2</v>
      </c>
      <c r="AA6" s="25">
        <f t="shared" si="6"/>
        <v>132.35585293861502</v>
      </c>
      <c r="AB6" s="25"/>
      <c r="AC6" s="25">
        <f t="shared" si="7"/>
        <v>132.35585293861502</v>
      </c>
      <c r="AD6" s="25"/>
      <c r="AE6" s="24">
        <f>+'Exports in money value'!J8</f>
        <v>8.5</v>
      </c>
      <c r="AF6" s="25">
        <f t="shared" si="8"/>
        <v>88.315424999999991</v>
      </c>
      <c r="AG6" s="41">
        <v>50.539135851113627</v>
      </c>
      <c r="AH6" s="25">
        <f t="shared" si="9"/>
        <v>93.673209671496707</v>
      </c>
      <c r="AI6" s="25">
        <v>70.839386998788413</v>
      </c>
      <c r="AJ6" s="25">
        <f t="shared" si="10"/>
        <v>385.18387460890017</v>
      </c>
      <c r="AK6" s="24">
        <f t="shared" si="11"/>
        <v>0.34361732581096155</v>
      </c>
      <c r="AL6" s="24">
        <f t="shared" si="12"/>
        <v>0.22928121040807287</v>
      </c>
      <c r="AM6" s="24">
        <f t="shared" si="13"/>
        <v>0.24319089101694255</v>
      </c>
      <c r="AN6" s="25">
        <f>1000*AJ6/(Population!V6*0.596+Population!W6)</f>
        <v>145.54934201117567</v>
      </c>
      <c r="AO6" s="25"/>
      <c r="AP6" s="25">
        <f t="shared" si="14"/>
        <v>106.25</v>
      </c>
      <c r="AQ6" s="25">
        <f t="shared" si="15"/>
        <v>87.572342369783726</v>
      </c>
      <c r="AR6" s="25">
        <f t="shared" si="16"/>
        <v>86.244259131593211</v>
      </c>
      <c r="AS6" s="25">
        <f t="shared" si="17"/>
        <v>94.644980450413073</v>
      </c>
      <c r="AT6" s="25">
        <f t="shared" si="18"/>
        <v>153.78453386382461</v>
      </c>
      <c r="AU6">
        <f>+A6</f>
        <v>1703</v>
      </c>
    </row>
    <row r="7" spans="1:47" x14ac:dyDescent="0.2">
      <c r="A7">
        <v>1704</v>
      </c>
      <c r="B7">
        <v>1852000</v>
      </c>
      <c r="C7" s="25">
        <v>1032.5</v>
      </c>
      <c r="D7" s="25"/>
      <c r="E7" s="25">
        <f>+C7*0.8</f>
        <v>826</v>
      </c>
      <c r="F7" s="24">
        <f>+E7/(Population!AE7+Population!AG7)</f>
        <v>0.43790139140525897</v>
      </c>
      <c r="G7" s="25">
        <f>+C7+(Population!V7-Population!AE7)*0.3</f>
        <v>1925.3761627561626</v>
      </c>
      <c r="H7" s="25">
        <v>572</v>
      </c>
      <c r="I7" s="25">
        <v>4044</v>
      </c>
      <c r="J7" s="25">
        <v>54.5</v>
      </c>
      <c r="K7" s="25">
        <v>516</v>
      </c>
      <c r="L7" s="25">
        <v>249.5</v>
      </c>
      <c r="M7">
        <v>1999</v>
      </c>
      <c r="N7" s="25">
        <f t="shared" si="0"/>
        <v>6559</v>
      </c>
      <c r="O7" s="25">
        <f t="shared" si="1"/>
        <v>6559</v>
      </c>
      <c r="P7" s="25">
        <f t="shared" si="2"/>
        <v>8526.7000000000007</v>
      </c>
      <c r="Q7" s="25">
        <f>2.5*Population!U7+1.25*(Population!V7-Population!U7)</f>
        <v>9732</v>
      </c>
      <c r="S7" s="33">
        <f t="shared" si="3"/>
        <v>2720</v>
      </c>
      <c r="T7">
        <f>+A7</f>
        <v>1704</v>
      </c>
      <c r="U7" s="25">
        <f t="shared" si="4"/>
        <v>12452</v>
      </c>
      <c r="V7" s="25">
        <f t="shared" si="5"/>
        <v>8526.7000000000007</v>
      </c>
      <c r="W7">
        <v>1.3</v>
      </c>
      <c r="X7">
        <v>68</v>
      </c>
      <c r="Y7" s="25">
        <f>+'Livestock in possession'!AD6/1000</f>
        <v>1522.2222832136629</v>
      </c>
      <c r="Z7" s="40">
        <f>+('Meat supplied to the Company'!Q6*0.2+'Meat supplied to the Company'!R6*0.8)</f>
        <v>8.2142857142857142E-2</v>
      </c>
      <c r="AA7" s="25">
        <f t="shared" si="6"/>
        <v>125.03968754969374</v>
      </c>
      <c r="AB7" s="25"/>
      <c r="AC7" s="25">
        <f t="shared" si="7"/>
        <v>125.03968754969374</v>
      </c>
      <c r="AD7" s="25"/>
      <c r="AE7" s="24">
        <f>+'Exports in money value'!J9</f>
        <v>8.5</v>
      </c>
      <c r="AF7" s="25">
        <f t="shared" si="8"/>
        <v>89.159475</v>
      </c>
      <c r="AG7" s="41">
        <v>51.984368315710277</v>
      </c>
      <c r="AH7" s="25">
        <f t="shared" si="9"/>
        <v>100.08946359100528</v>
      </c>
      <c r="AI7" s="25">
        <v>13.050109076643965</v>
      </c>
      <c r="AJ7" s="25">
        <f t="shared" si="10"/>
        <v>327.33873521734301</v>
      </c>
      <c r="AK7" s="24">
        <f t="shared" si="11"/>
        <v>0.38198866830309947</v>
      </c>
      <c r="AL7" s="24">
        <f t="shared" si="12"/>
        <v>0.27237679323469249</v>
      </c>
      <c r="AM7" s="24">
        <f t="shared" si="13"/>
        <v>0.30576724604422056</v>
      </c>
      <c r="AN7" s="25">
        <f>1000*AJ7/(Population!V7*0.596+Population!W7)</f>
        <v>122.31390951401539</v>
      </c>
      <c r="AO7" s="25"/>
      <c r="AP7" s="25">
        <f t="shared" si="14"/>
        <v>106.25</v>
      </c>
      <c r="AQ7" s="25">
        <f t="shared" si="15"/>
        <v>87.572342369783726</v>
      </c>
      <c r="AR7" s="25">
        <f t="shared" si="16"/>
        <v>88.71052613602437</v>
      </c>
      <c r="AS7" s="25">
        <f t="shared" si="17"/>
        <v>95.384860551742435</v>
      </c>
      <c r="AT7" s="25">
        <f t="shared" si="18"/>
        <v>128.23199489573614</v>
      </c>
      <c r="AU7">
        <f>+A7</f>
        <v>1704</v>
      </c>
    </row>
    <row r="8" spans="1:47" x14ac:dyDescent="0.2">
      <c r="A8">
        <v>1705</v>
      </c>
      <c r="B8">
        <v>1917800</v>
      </c>
      <c r="C8" s="25">
        <v>1076</v>
      </c>
      <c r="D8" s="25"/>
      <c r="E8" s="25">
        <f>+C8*0.8</f>
        <v>860.80000000000007</v>
      </c>
      <c r="F8" s="24">
        <f>+E8/(Population!AE8+Population!AG8)</f>
        <v>0.4329665165684714</v>
      </c>
      <c r="G8" s="25">
        <f>+C8+(Population!V8-Population!AE8)*0.3</f>
        <v>2013.0311553311553</v>
      </c>
      <c r="H8" s="25">
        <v>841.75</v>
      </c>
      <c r="I8" s="25">
        <v>2339.75</v>
      </c>
      <c r="J8" s="25">
        <v>45.25</v>
      </c>
      <c r="K8" s="25">
        <v>144.5</v>
      </c>
      <c r="L8" s="25">
        <v>450</v>
      </c>
      <c r="M8">
        <v>910</v>
      </c>
      <c r="N8" s="25">
        <f t="shared" si="0"/>
        <v>3394.25</v>
      </c>
      <c r="O8" s="25">
        <f t="shared" si="1"/>
        <v>3394.25</v>
      </c>
      <c r="P8" s="25">
        <f t="shared" si="2"/>
        <v>4412.5250000000005</v>
      </c>
      <c r="Q8" s="25">
        <f>2.5*Population!U8+1.25*(Population!V8-Population!U8)</f>
        <v>10192.5</v>
      </c>
      <c r="S8" s="33">
        <f t="shared" si="3"/>
        <v>2720</v>
      </c>
      <c r="T8">
        <f>+A8</f>
        <v>1705</v>
      </c>
      <c r="U8" s="25">
        <f t="shared" si="4"/>
        <v>12912.5</v>
      </c>
      <c r="V8" s="25">
        <f t="shared" si="5"/>
        <v>4412.5250000000005</v>
      </c>
      <c r="W8">
        <v>1.3</v>
      </c>
      <c r="X8">
        <v>68</v>
      </c>
      <c r="Y8" s="25">
        <f>+'Livestock in possession'!AD7/1000</f>
        <v>1612.6480168086898</v>
      </c>
      <c r="Z8" s="40">
        <f>+('Meat supplied to the Company'!Q7*0.2+'Meat supplied to the Company'!R7*0.8)</f>
        <v>8.2142857142857142E-2</v>
      </c>
      <c r="AA8" s="25">
        <f t="shared" si="6"/>
        <v>132.46751566642808</v>
      </c>
      <c r="AB8" s="25"/>
      <c r="AC8" s="25">
        <f t="shared" si="7"/>
        <v>132.46751566642808</v>
      </c>
      <c r="AD8" s="25"/>
      <c r="AE8" s="24">
        <f>+'Exports in money value'!J10</f>
        <v>8.5</v>
      </c>
      <c r="AF8" s="25">
        <f t="shared" si="8"/>
        <v>73.63135625000001</v>
      </c>
      <c r="AG8" s="41">
        <v>53.470929086411658</v>
      </c>
      <c r="AH8" s="25">
        <f t="shared" si="9"/>
        <v>107.63864615544954</v>
      </c>
      <c r="AI8" s="25">
        <v>24.921142593805005</v>
      </c>
      <c r="AJ8" s="25">
        <f t="shared" si="10"/>
        <v>338.65866066568265</v>
      </c>
      <c r="AK8" s="24">
        <f t="shared" si="11"/>
        <v>0.39115348594966981</v>
      </c>
      <c r="AL8" s="24">
        <f t="shared" si="12"/>
        <v>0.21742056176938429</v>
      </c>
      <c r="AM8" s="24">
        <f t="shared" si="13"/>
        <v>0.31783816171678642</v>
      </c>
      <c r="AN8" s="25">
        <f>1000*AJ8/(Population!V8*0.596+Population!W8)</f>
        <v>120.55667911622363</v>
      </c>
      <c r="AO8" s="25"/>
      <c r="AP8" s="25">
        <f t="shared" si="14"/>
        <v>106.25</v>
      </c>
      <c r="AQ8" s="25">
        <f t="shared" si="15"/>
        <v>87.572342369783726</v>
      </c>
      <c r="AR8" s="25">
        <f t="shared" si="16"/>
        <v>91.247319260088162</v>
      </c>
      <c r="AS8" s="25">
        <f t="shared" si="17"/>
        <v>96.145898488961564</v>
      </c>
      <c r="AT8" s="25">
        <f t="shared" si="18"/>
        <v>125.38931042395393</v>
      </c>
      <c r="AU8">
        <f>+A8</f>
        <v>1705</v>
      </c>
    </row>
    <row r="9" spans="1:47" x14ac:dyDescent="0.2">
      <c r="A9">
        <v>1706</v>
      </c>
      <c r="B9">
        <v>1912050</v>
      </c>
      <c r="C9" s="25">
        <v>1132</v>
      </c>
      <c r="D9" s="25"/>
      <c r="E9" s="25">
        <f>+C9*0.8</f>
        <v>905.6</v>
      </c>
      <c r="F9" s="24">
        <f>+E9/(Population!AE9+Population!AG9)</f>
        <v>0.43104967363448071</v>
      </c>
      <c r="G9" s="25">
        <f>+C9+(Population!V9-Population!AE9)*0.3</f>
        <v>2073.8974137632349</v>
      </c>
      <c r="H9" s="25">
        <v>717.5</v>
      </c>
      <c r="I9" s="25">
        <v>4331</v>
      </c>
      <c r="J9" s="25">
        <v>55.5</v>
      </c>
      <c r="K9" s="25">
        <v>546</v>
      </c>
      <c r="L9" s="25">
        <v>261</v>
      </c>
      <c r="M9">
        <v>1673</v>
      </c>
      <c r="N9" s="25">
        <f t="shared" si="0"/>
        <v>6550</v>
      </c>
      <c r="O9" s="25">
        <f t="shared" si="1"/>
        <v>6550</v>
      </c>
      <c r="P9" s="25">
        <f t="shared" si="2"/>
        <v>8515</v>
      </c>
      <c r="Q9" s="25">
        <f>2.5*Population!U9+1.25*(Population!V9-Population!U9)</f>
        <v>10229.546736162361</v>
      </c>
      <c r="R9">
        <v>1400</v>
      </c>
      <c r="S9" s="33">
        <f t="shared" si="3"/>
        <v>2920</v>
      </c>
      <c r="T9">
        <f>+A9</f>
        <v>1706</v>
      </c>
      <c r="U9" s="25">
        <f t="shared" si="4"/>
        <v>14549.546736162361</v>
      </c>
      <c r="V9" s="25">
        <f t="shared" si="5"/>
        <v>8515</v>
      </c>
      <c r="W9">
        <v>1.3</v>
      </c>
      <c r="X9">
        <v>73</v>
      </c>
      <c r="Y9" s="25">
        <f>+'Livestock in possession'!AD8/1000</f>
        <v>1582.3894566978181</v>
      </c>
      <c r="Z9" s="40">
        <f>+('Meat supplied to the Company'!Q8*0.2+'Meat supplied to the Company'!R8*0.8)</f>
        <v>0.15083333333333332</v>
      </c>
      <c r="AA9" s="25">
        <f t="shared" si="6"/>
        <v>238.6770763852542</v>
      </c>
      <c r="AB9" s="25"/>
      <c r="AC9" s="25">
        <f t="shared" si="7"/>
        <v>238.6770763852542</v>
      </c>
      <c r="AD9" s="25"/>
      <c r="AE9" s="24">
        <f>+'Exports in money value'!J11</f>
        <v>8.5</v>
      </c>
      <c r="AF9" s="25">
        <f t="shared" si="8"/>
        <v>98.024323628690041</v>
      </c>
      <c r="AG9" s="41">
        <v>54.999999999999993</v>
      </c>
      <c r="AH9" s="25">
        <f t="shared" si="9"/>
        <v>114.0643577569779</v>
      </c>
      <c r="AI9" s="25">
        <v>138.76357539759934</v>
      </c>
      <c r="AJ9" s="25">
        <f t="shared" si="10"/>
        <v>589.52933316852148</v>
      </c>
      <c r="AK9" s="24">
        <f t="shared" si="11"/>
        <v>0.4048603910893549</v>
      </c>
      <c r="AL9" s="24">
        <f t="shared" si="12"/>
        <v>0.16627556613992783</v>
      </c>
      <c r="AM9" s="24">
        <f t="shared" si="13"/>
        <v>0.19348376974546869</v>
      </c>
      <c r="AN9" s="25">
        <f>1000*AJ9/(Population!V9*0.596+Population!W9)</f>
        <v>208.67684910236727</v>
      </c>
      <c r="AO9" s="25"/>
      <c r="AP9" s="25">
        <f t="shared" si="14"/>
        <v>106.25</v>
      </c>
      <c r="AQ9" s="25">
        <f t="shared" si="15"/>
        <v>160.80312722103767</v>
      </c>
      <c r="AR9" s="25">
        <f t="shared" si="16"/>
        <v>93.856655290102367</v>
      </c>
      <c r="AS9" s="25">
        <f t="shared" si="17"/>
        <v>118.89793475334201</v>
      </c>
      <c r="AT9" s="25">
        <f t="shared" si="18"/>
        <v>175.50922943722682</v>
      </c>
      <c r="AU9">
        <f>+A9</f>
        <v>1706</v>
      </c>
    </row>
    <row r="10" spans="1:47" x14ac:dyDescent="0.2">
      <c r="A10">
        <v>1707</v>
      </c>
      <c r="B10">
        <v>1895600</v>
      </c>
      <c r="C10" s="25">
        <v>1356</v>
      </c>
      <c r="D10" s="25"/>
      <c r="E10" s="25">
        <f>+C10*0.8</f>
        <v>1084.8</v>
      </c>
      <c r="F10" s="24">
        <f>+E10/(Population!AE10+Population!AG10)</f>
        <v>0.56151082677897857</v>
      </c>
      <c r="G10" s="25">
        <f>+C10+(Population!V10-Population!AE10)*0.3</f>
        <v>2247.0829620962149</v>
      </c>
      <c r="H10" s="25">
        <v>769</v>
      </c>
      <c r="I10" s="25">
        <v>6059</v>
      </c>
      <c r="J10" s="25">
        <v>50.75</v>
      </c>
      <c r="K10" s="25">
        <v>549</v>
      </c>
      <c r="L10" s="25">
        <v>291.5</v>
      </c>
      <c r="M10">
        <v>2536</v>
      </c>
      <c r="N10" s="25">
        <f t="shared" si="0"/>
        <v>9144</v>
      </c>
      <c r="O10" s="25">
        <f t="shared" si="1"/>
        <v>9144</v>
      </c>
      <c r="P10" s="25">
        <f t="shared" si="2"/>
        <v>11887.2</v>
      </c>
      <c r="Q10" s="25">
        <f>2.5*Population!U10+1.25*(Population!V10-Population!U10)</f>
        <v>9506.6043597760145</v>
      </c>
      <c r="R10">
        <v>4005</v>
      </c>
      <c r="S10" s="33">
        <f t="shared" si="3"/>
        <v>2640</v>
      </c>
      <c r="T10">
        <f>+A10</f>
        <v>1707</v>
      </c>
      <c r="U10" s="25">
        <f t="shared" si="4"/>
        <v>16151.604359776014</v>
      </c>
      <c r="V10" s="25">
        <f t="shared" si="5"/>
        <v>11887.2</v>
      </c>
      <c r="W10">
        <v>1.3</v>
      </c>
      <c r="X10">
        <v>66</v>
      </c>
      <c r="Y10" s="25">
        <f>+'Livestock in possession'!AD9/1000</f>
        <v>1577.5762030272604</v>
      </c>
      <c r="Z10" s="40">
        <f>+('Meat supplied to the Company'!Q9*0.2+'Meat supplied to the Company'!R9*0.8)</f>
        <v>0.15083333333333332</v>
      </c>
      <c r="AA10" s="25">
        <f t="shared" si="6"/>
        <v>237.95107728994509</v>
      </c>
      <c r="AB10" s="25"/>
      <c r="AC10" s="25">
        <f t="shared" si="7"/>
        <v>237.95107728994509</v>
      </c>
      <c r="AD10" s="25"/>
      <c r="AE10" s="24">
        <f>+'Exports in money value'!J12</f>
        <v>8.5</v>
      </c>
      <c r="AF10" s="25">
        <f t="shared" si="8"/>
        <v>119.16491852904807</v>
      </c>
      <c r="AG10" s="41">
        <v>32.657860824742272</v>
      </c>
      <c r="AH10" s="25">
        <f t="shared" si="9"/>
        <v>73.38492263778781</v>
      </c>
      <c r="AI10" s="25">
        <v>140.39837314522811</v>
      </c>
      <c r="AJ10" s="25">
        <f t="shared" si="10"/>
        <v>570.89929160200904</v>
      </c>
      <c r="AK10" s="24">
        <f t="shared" si="11"/>
        <v>0.41680044237264163</v>
      </c>
      <c r="AL10" s="24">
        <f t="shared" si="12"/>
        <v>0.20873194323758504</v>
      </c>
      <c r="AM10" s="24">
        <f t="shared" si="13"/>
        <v>0.12854267594528149</v>
      </c>
      <c r="AN10" s="25">
        <f>1000*AJ10/(Population!V10*0.596+Population!W10)</f>
        <v>213.85942280650437</v>
      </c>
      <c r="AO10" s="25"/>
      <c r="AP10" s="25">
        <f t="shared" si="14"/>
        <v>106.25</v>
      </c>
      <c r="AQ10" s="25">
        <f t="shared" si="15"/>
        <v>160.80312722103767</v>
      </c>
      <c r="AR10" s="25">
        <f t="shared" si="16"/>
        <v>55.730137926181357</v>
      </c>
      <c r="AS10" s="25">
        <f t="shared" si="17"/>
        <v>107.45997954416572</v>
      </c>
      <c r="AT10" s="25">
        <f t="shared" si="18"/>
        <v>199.01308721039612</v>
      </c>
      <c r="AU10">
        <f>+A10</f>
        <v>1707</v>
      </c>
    </row>
    <row r="11" spans="1:47" x14ac:dyDescent="0.2">
      <c r="A11">
        <v>1708</v>
      </c>
      <c r="B11">
        <v>1998500</v>
      </c>
      <c r="C11" s="25">
        <v>1288</v>
      </c>
      <c r="D11" s="25"/>
      <c r="E11" s="25">
        <f>+C11*0.8</f>
        <v>1030.4000000000001</v>
      </c>
      <c r="F11" s="24">
        <f>+E11/(Population!AE11+Population!AG11)</f>
        <v>0.42048876768167809</v>
      </c>
      <c r="G11" s="25">
        <f>+C11+(Population!V11-Population!AE11)*0.3</f>
        <v>2276.9347468811538</v>
      </c>
      <c r="H11" s="25">
        <v>900.75</v>
      </c>
      <c r="I11" s="25">
        <v>8472</v>
      </c>
      <c r="J11" s="25">
        <v>23.75</v>
      </c>
      <c r="K11" s="25">
        <v>282</v>
      </c>
      <c r="L11" s="25">
        <v>396</v>
      </c>
      <c r="M11">
        <v>4021</v>
      </c>
      <c r="N11" s="25">
        <f t="shared" si="0"/>
        <v>12775</v>
      </c>
      <c r="O11" s="25">
        <f t="shared" si="1"/>
        <v>12775</v>
      </c>
      <c r="P11" s="25">
        <f t="shared" si="2"/>
        <v>16607.5</v>
      </c>
      <c r="Q11" s="25">
        <f>2.5*Population!U11+1.25*(Population!V11-Population!U11)</f>
        <v>10571.177472289495</v>
      </c>
      <c r="R11">
        <v>5310</v>
      </c>
      <c r="S11" s="33">
        <f t="shared" si="3"/>
        <v>2800</v>
      </c>
      <c r="T11">
        <f>+A11</f>
        <v>1708</v>
      </c>
      <c r="U11" s="25">
        <f t="shared" si="4"/>
        <v>18681.177472289495</v>
      </c>
      <c r="V11" s="25">
        <f t="shared" si="5"/>
        <v>16607.5</v>
      </c>
      <c r="W11">
        <v>1.3</v>
      </c>
      <c r="X11">
        <v>70</v>
      </c>
      <c r="Y11" s="25">
        <f>+'Livestock in possession'!AD10/1000</f>
        <v>1758.9124238504448</v>
      </c>
      <c r="Z11" s="40">
        <f>+('Meat supplied to the Company'!Q10*0.2+'Meat supplied to the Company'!R10*0.8)</f>
        <v>0.14958333333333335</v>
      </c>
      <c r="AA11" s="25">
        <f t="shared" si="6"/>
        <v>263.10398340096242</v>
      </c>
      <c r="AB11" s="25"/>
      <c r="AC11" s="25">
        <f t="shared" si="7"/>
        <v>263.10398340096242</v>
      </c>
      <c r="AD11" s="25"/>
      <c r="AE11" s="24">
        <f>+'Exports in money value'!J13</f>
        <v>8.5</v>
      </c>
      <c r="AF11" s="25">
        <f t="shared" si="8"/>
        <v>149.97687925723034</v>
      </c>
      <c r="AG11" s="41">
        <v>47.938144329897</v>
      </c>
      <c r="AH11" s="25">
        <f t="shared" si="9"/>
        <v>109.15202652574625</v>
      </c>
      <c r="AI11" s="25">
        <v>215.32823976658264</v>
      </c>
      <c r="AJ11" s="25">
        <f t="shared" si="10"/>
        <v>737.56112895052172</v>
      </c>
      <c r="AK11" s="24">
        <f t="shared" si="11"/>
        <v>0.356721596453075</v>
      </c>
      <c r="AL11" s="24">
        <f t="shared" si="12"/>
        <v>0.20334162602987627</v>
      </c>
      <c r="AM11" s="24">
        <f t="shared" si="13"/>
        <v>0.14799048138702625</v>
      </c>
      <c r="AN11" s="25">
        <f>1000*AJ11/(Population!V11*0.596+Population!W11)</f>
        <v>248.54018499524022</v>
      </c>
      <c r="AO11" s="25"/>
      <c r="AP11" s="25">
        <f t="shared" si="14"/>
        <v>106.25</v>
      </c>
      <c r="AQ11" s="25">
        <f t="shared" si="15"/>
        <v>159.47050461975837</v>
      </c>
      <c r="AR11" s="25">
        <f t="shared" si="16"/>
        <v>81.805707047605807</v>
      </c>
      <c r="AS11" s="25">
        <f t="shared" si="17"/>
        <v>114.88286350020924</v>
      </c>
      <c r="AT11" s="25">
        <f t="shared" si="18"/>
        <v>216.34226151995904</v>
      </c>
      <c r="AU11">
        <f>+A11</f>
        <v>1708</v>
      </c>
    </row>
    <row r="12" spans="1:47" x14ac:dyDescent="0.2">
      <c r="A12">
        <v>1709</v>
      </c>
      <c r="B12">
        <v>2258300</v>
      </c>
      <c r="C12" s="25">
        <v>1411.5</v>
      </c>
      <c r="D12" s="25"/>
      <c r="E12" s="25">
        <f>+C12*0.8</f>
        <v>1129.2</v>
      </c>
      <c r="F12" s="24">
        <f>+E12/(Population!AE12+Population!AG12)</f>
        <v>0.47395745966013264</v>
      </c>
      <c r="G12" s="25">
        <f>+C12+(Population!V12-Population!AE12)*0.3</f>
        <v>2445.869730589744</v>
      </c>
      <c r="H12" s="25">
        <v>1312</v>
      </c>
      <c r="I12" s="62">
        <v>7364</v>
      </c>
      <c r="J12" s="25">
        <v>64.75</v>
      </c>
      <c r="K12" s="25">
        <v>521</v>
      </c>
      <c r="L12" s="25">
        <v>305</v>
      </c>
      <c r="M12">
        <v>1299</v>
      </c>
      <c r="N12" s="25">
        <f t="shared" si="0"/>
        <v>9184</v>
      </c>
      <c r="O12" s="25">
        <f t="shared" si="1"/>
        <v>9184</v>
      </c>
      <c r="P12" s="25">
        <f t="shared" si="2"/>
        <v>11939.2</v>
      </c>
      <c r="Q12" s="25">
        <f>2.5*Population!U12+1.25*(Population!V12-Population!U12)</f>
        <v>11392.906180454618</v>
      </c>
      <c r="R12">
        <v>3839</v>
      </c>
      <c r="S12" s="33">
        <f t="shared" si="3"/>
        <v>2360</v>
      </c>
      <c r="T12">
        <f>+A12</f>
        <v>1709</v>
      </c>
      <c r="U12" s="25">
        <f t="shared" si="4"/>
        <v>17591.906180454618</v>
      </c>
      <c r="V12" s="25">
        <f t="shared" si="5"/>
        <v>11939.2</v>
      </c>
      <c r="W12">
        <v>1.3</v>
      </c>
      <c r="X12">
        <v>59</v>
      </c>
      <c r="Y12" s="25">
        <f>+'Livestock in possession'!AD11/1000</f>
        <v>2018.2656161291848</v>
      </c>
      <c r="Z12" s="40">
        <f>+('Meat supplied to the Company'!Q11*0.2+'Meat supplied to the Company'!R11*0.8)</f>
        <v>0.14958333333333335</v>
      </c>
      <c r="AA12" s="25">
        <f t="shared" si="6"/>
        <v>301.89889841265727</v>
      </c>
      <c r="AB12" s="25"/>
      <c r="AC12" s="25">
        <f t="shared" si="7"/>
        <v>301.89889841265727</v>
      </c>
      <c r="AD12" s="25"/>
      <c r="AE12" s="24">
        <f>+'Exports in money value'!J14</f>
        <v>9.125</v>
      </c>
      <c r="AF12" s="25">
        <f t="shared" si="8"/>
        <v>134.73567194832418</v>
      </c>
      <c r="AG12" s="41">
        <v>54.230025773195997</v>
      </c>
      <c r="AH12" s="25">
        <f t="shared" si="9"/>
        <v>132.63957852776176</v>
      </c>
      <c r="AI12" s="25">
        <v>121.72833492811321</v>
      </c>
      <c r="AJ12" s="25">
        <f t="shared" si="10"/>
        <v>691.0024838168564</v>
      </c>
      <c r="AK12" s="24">
        <f t="shared" si="11"/>
        <v>0.43689987443326278</v>
      </c>
      <c r="AL12" s="24">
        <f t="shared" si="12"/>
        <v>0.19498579976745001</v>
      </c>
      <c r="AM12" s="24">
        <f t="shared" si="13"/>
        <v>0.19195239038086673</v>
      </c>
      <c r="AN12" s="25">
        <f>1000*AJ12/(Population!V12*0.596+Population!W12)</f>
        <v>217.51208183197258</v>
      </c>
      <c r="AO12" s="25"/>
      <c r="AP12" s="25">
        <f t="shared" si="14"/>
        <v>114.0625</v>
      </c>
      <c r="AQ12" s="25">
        <f t="shared" si="15"/>
        <v>159.47050461975837</v>
      </c>
      <c r="AR12" s="25">
        <f t="shared" si="16"/>
        <v>92.542706097604082</v>
      </c>
      <c r="AS12" s="25">
        <f t="shared" si="17"/>
        <v>121.22896321520872</v>
      </c>
      <c r="AT12" s="25">
        <f t="shared" si="18"/>
        <v>179.42253737321801</v>
      </c>
      <c r="AU12">
        <f>+A12</f>
        <v>1709</v>
      </c>
    </row>
    <row r="13" spans="1:47" x14ac:dyDescent="0.2">
      <c r="A13">
        <v>1710</v>
      </c>
      <c r="B13">
        <v>2729300</v>
      </c>
      <c r="C13" s="25">
        <v>1190</v>
      </c>
      <c r="D13" s="25"/>
      <c r="E13" s="25">
        <f>+C13*0.8</f>
        <v>952</v>
      </c>
      <c r="F13" s="24">
        <f>+E13/(Population!AE13+Population!AG13)</f>
        <v>0.36166658966858545</v>
      </c>
      <c r="G13" s="25">
        <f>+C13+(Population!V13-Population!AE13)*0.3</f>
        <v>2236.6616951154924</v>
      </c>
      <c r="H13" s="25">
        <v>1582.5</v>
      </c>
      <c r="I13" s="63">
        <v>20264</v>
      </c>
      <c r="J13" s="25">
        <v>73.5</v>
      </c>
      <c r="K13" s="25">
        <v>1107</v>
      </c>
      <c r="L13" s="25">
        <v>375</v>
      </c>
      <c r="M13">
        <v>175</v>
      </c>
      <c r="N13" s="25">
        <f t="shared" si="0"/>
        <v>21546</v>
      </c>
      <c r="O13" s="25">
        <f t="shared" si="1"/>
        <v>21546</v>
      </c>
      <c r="P13" s="25">
        <f t="shared" si="2"/>
        <v>28009.8</v>
      </c>
      <c r="Q13" s="25">
        <f>2.5*Population!U13+1.25*(Population!V13-Population!U13)</f>
        <v>11522.917959687196</v>
      </c>
      <c r="R13">
        <v>3446</v>
      </c>
      <c r="S13" s="33">
        <f t="shared" si="3"/>
        <v>3080</v>
      </c>
      <c r="T13">
        <f>+A13</f>
        <v>1710</v>
      </c>
      <c r="U13" s="25">
        <f t="shared" si="4"/>
        <v>18048.917959687198</v>
      </c>
      <c r="V13" s="25">
        <f t="shared" si="5"/>
        <v>28009.8</v>
      </c>
      <c r="W13">
        <v>1.3</v>
      </c>
      <c r="X13">
        <v>77</v>
      </c>
      <c r="Y13" s="25">
        <f>+'Livestock in possession'!AD12/1000</f>
        <v>2110.7952430221217</v>
      </c>
      <c r="Z13" s="40">
        <f>+('Meat supplied to the Company'!Q12*0.2+'Meat supplied to the Company'!R12*0.8)</f>
        <v>0.14958333333333335</v>
      </c>
      <c r="AA13" s="25">
        <f t="shared" si="6"/>
        <v>315.73978843539237</v>
      </c>
      <c r="AB13" s="25"/>
      <c r="AC13" s="25">
        <f t="shared" si="7"/>
        <v>315.73978843539237</v>
      </c>
      <c r="AD13" s="25"/>
      <c r="AE13" s="24">
        <f>+'Exports in money value'!J15</f>
        <v>9.75</v>
      </c>
      <c r="AF13" s="25">
        <f t="shared" si="8"/>
        <v>224.53625005347513</v>
      </c>
      <c r="AG13" s="41">
        <v>82.0940721649485</v>
      </c>
      <c r="AH13" s="25">
        <f t="shared" si="9"/>
        <v>183.61666660738729</v>
      </c>
      <c r="AI13" s="25">
        <v>85.336349898107315</v>
      </c>
      <c r="AJ13" s="25">
        <f t="shared" si="10"/>
        <v>809.22905499436206</v>
      </c>
      <c r="AK13" s="24">
        <f t="shared" si="11"/>
        <v>0.39017356888846771</v>
      </c>
      <c r="AL13" s="24">
        <f t="shared" si="12"/>
        <v>0.27746933784407862</v>
      </c>
      <c r="AM13" s="24">
        <f t="shared" si="13"/>
        <v>0.22690320555614077</v>
      </c>
      <c r="AN13" s="25">
        <f>1000*AJ13/(Population!V13*0.596+Population!W13)</f>
        <v>251.77306373578074</v>
      </c>
      <c r="AO13" s="25"/>
      <c r="AP13" s="25">
        <f t="shared" si="14"/>
        <v>121.875</v>
      </c>
      <c r="AQ13" s="25">
        <f t="shared" si="15"/>
        <v>159.47050461975837</v>
      </c>
      <c r="AR13" s="25">
        <f t="shared" si="16"/>
        <v>140.09227331902474</v>
      </c>
      <c r="AS13" s="25">
        <f t="shared" si="17"/>
        <v>138.61883338163491</v>
      </c>
      <c r="AT13" s="25">
        <f t="shared" si="18"/>
        <v>181.62976674505558</v>
      </c>
      <c r="AU13">
        <f>+A13</f>
        <v>1710</v>
      </c>
    </row>
    <row r="14" spans="1:47" x14ac:dyDescent="0.2">
      <c r="A14">
        <v>1711</v>
      </c>
      <c r="B14">
        <v>2891600</v>
      </c>
      <c r="C14" s="25">
        <v>1094.5</v>
      </c>
      <c r="D14" s="25"/>
      <c r="E14" s="25">
        <f>+C14*0.8</f>
        <v>875.6</v>
      </c>
      <c r="F14" s="24">
        <f>+E14/(Population!AE14+Population!AG14)</f>
        <v>0.34329520878899966</v>
      </c>
      <c r="G14" s="25">
        <f>+C14+(Population!V14-Population!AE14)*0.3</f>
        <v>2128.6364066335873</v>
      </c>
      <c r="H14" s="64">
        <v>1737.5</v>
      </c>
      <c r="I14" s="65">
        <v>11468</v>
      </c>
      <c r="J14" s="25">
        <v>100.5</v>
      </c>
      <c r="K14" s="25">
        <v>1407</v>
      </c>
      <c r="L14" s="25">
        <v>168</v>
      </c>
      <c r="M14">
        <v>520</v>
      </c>
      <c r="N14" s="25">
        <f t="shared" si="0"/>
        <v>13395</v>
      </c>
      <c r="O14" s="25">
        <f t="shared" si="1"/>
        <v>13395</v>
      </c>
      <c r="P14" s="25">
        <f t="shared" si="2"/>
        <v>17413.5</v>
      </c>
      <c r="Q14" s="25">
        <f>2.5*Population!U14+1.25*(Population!V14-Population!U14)</f>
        <v>11452.56245571816</v>
      </c>
      <c r="R14">
        <v>0</v>
      </c>
      <c r="S14" s="33">
        <f t="shared" si="3"/>
        <v>2920</v>
      </c>
      <c r="T14">
        <f>+A14</f>
        <v>1711</v>
      </c>
      <c r="U14" s="25">
        <f t="shared" si="4"/>
        <v>14372.56245571816</v>
      </c>
      <c r="V14" s="25">
        <f t="shared" si="5"/>
        <v>17413.5</v>
      </c>
      <c r="W14">
        <v>1.3</v>
      </c>
      <c r="X14">
        <v>73</v>
      </c>
      <c r="Y14" s="25">
        <f>+'Livestock in possession'!AD13/1000</f>
        <v>1921.3403220751457</v>
      </c>
      <c r="Z14" s="40">
        <f>+('Meat supplied to the Company'!Q13*0.2+'Meat supplied to the Company'!R13*0.8)</f>
        <v>0.14958333333333335</v>
      </c>
      <c r="AA14" s="25">
        <f t="shared" si="6"/>
        <v>287.40048984374056</v>
      </c>
      <c r="AB14" s="25"/>
      <c r="AC14" s="25">
        <f t="shared" si="7"/>
        <v>287.40048984374056</v>
      </c>
      <c r="AD14" s="25"/>
      <c r="AE14" s="24">
        <f>+'Exports in money value'!J16</f>
        <v>7.9999999999999982</v>
      </c>
      <c r="AF14" s="25">
        <f t="shared" si="8"/>
        <v>127.14424982287261</v>
      </c>
      <c r="AG14" s="41">
        <v>75.802190721649509</v>
      </c>
      <c r="AH14" s="25">
        <f t="shared" si="9"/>
        <v>161.35530287268585</v>
      </c>
      <c r="AI14" s="25">
        <v>-109.02284436952944</v>
      </c>
      <c r="AJ14" s="25">
        <f t="shared" si="10"/>
        <v>466.87719816976954</v>
      </c>
      <c r="AK14" s="24">
        <f t="shared" si="11"/>
        <v>0.61558048019992129</v>
      </c>
      <c r="AL14" s="24">
        <f t="shared" si="12"/>
        <v>0.27232910564340607</v>
      </c>
      <c r="AM14" s="24">
        <f t="shared" si="13"/>
        <v>0.34560544722514502</v>
      </c>
      <c r="AN14" s="25">
        <f>1000*AJ14/(Population!V14*0.596+Population!W14)</f>
        <v>147.01639454210056</v>
      </c>
      <c r="AO14" s="25"/>
      <c r="AP14" s="25">
        <f t="shared" si="14"/>
        <v>99.999999999999972</v>
      </c>
      <c r="AQ14" s="25">
        <f t="shared" si="15"/>
        <v>159.47050461975837</v>
      </c>
      <c r="AR14" s="25">
        <f t="shared" si="16"/>
        <v>129.35527426902647</v>
      </c>
      <c r="AS14" s="25">
        <f t="shared" si="17"/>
        <v>126.64773366663545</v>
      </c>
      <c r="AT14" s="25">
        <f t="shared" si="18"/>
        <v>116.08292567562233</v>
      </c>
      <c r="AU14">
        <f>+A14</f>
        <v>1711</v>
      </c>
    </row>
    <row r="15" spans="1:47" x14ac:dyDescent="0.2">
      <c r="A15">
        <v>1712</v>
      </c>
      <c r="B15">
        <v>2488500</v>
      </c>
      <c r="C15" s="25">
        <v>1036.5</v>
      </c>
      <c r="D15" s="25"/>
      <c r="E15" s="25">
        <f>+C15*0.8</f>
        <v>829.2</v>
      </c>
      <c r="F15" s="24">
        <f>+E15/(Population!AE15+Population!AG15)</f>
        <v>0.34190148382284924</v>
      </c>
      <c r="G15" s="25">
        <f>+C15+(Population!V15-Population!AE15)*0.3</f>
        <v>2143.9761336107294</v>
      </c>
      <c r="H15" s="25">
        <v>1527.5</v>
      </c>
      <c r="I15" s="25">
        <v>12652.5</v>
      </c>
      <c r="J15" s="25">
        <v>105.5</v>
      </c>
      <c r="K15" s="25">
        <v>1168</v>
      </c>
      <c r="L15" s="25">
        <v>148.5</v>
      </c>
      <c r="M15">
        <v>700</v>
      </c>
      <c r="N15" s="25">
        <f t="shared" si="0"/>
        <v>14520.5</v>
      </c>
      <c r="O15" s="25">
        <f t="shared" si="1"/>
        <v>14520.5</v>
      </c>
      <c r="P15" s="25">
        <f t="shared" si="2"/>
        <v>18876.650000000001</v>
      </c>
      <c r="Q15" s="25">
        <f>2.5*Population!U15+1.25*(Population!V15-Population!U15)</f>
        <v>12281.839767463989</v>
      </c>
      <c r="R15">
        <v>0</v>
      </c>
      <c r="S15" s="33">
        <f t="shared" si="3"/>
        <v>2680</v>
      </c>
      <c r="T15">
        <f>+A15</f>
        <v>1712</v>
      </c>
      <c r="U15" s="25">
        <f t="shared" si="4"/>
        <v>14961.839767463989</v>
      </c>
      <c r="V15" s="25">
        <f t="shared" si="5"/>
        <v>18876.650000000001</v>
      </c>
      <c r="W15">
        <v>1.3</v>
      </c>
      <c r="X15">
        <v>67</v>
      </c>
      <c r="Y15" s="25">
        <f>+'Livestock in possession'!AD14/1000</f>
        <v>1856.9118264898152</v>
      </c>
      <c r="Z15" s="40">
        <f>+('Meat supplied to the Company'!Q14*0.2+'Meat supplied to the Company'!R14*0.8)</f>
        <v>0.14958333333333335</v>
      </c>
      <c r="AA15" s="25">
        <f t="shared" si="6"/>
        <v>277.76306071243488</v>
      </c>
      <c r="AB15" s="25"/>
      <c r="AC15" s="25">
        <f t="shared" si="7"/>
        <v>277.76306071243488</v>
      </c>
      <c r="AD15" s="25"/>
      <c r="AE15" s="24">
        <f>+'Exports in money value'!J17</f>
        <v>8.1633102038346941</v>
      </c>
      <c r="AF15" s="25">
        <f t="shared" si="8"/>
        <v>138.11704440054734</v>
      </c>
      <c r="AG15" s="41">
        <v>95.876288659793929</v>
      </c>
      <c r="AH15" s="25">
        <f t="shared" si="9"/>
        <v>205.55647466577122</v>
      </c>
      <c r="AI15" s="25">
        <v>-168.86745807893345</v>
      </c>
      <c r="AJ15" s="25">
        <f t="shared" si="10"/>
        <v>452.56912169981996</v>
      </c>
      <c r="AK15" s="24">
        <f t="shared" si="11"/>
        <v>0.61374726510101929</v>
      </c>
      <c r="AL15" s="24">
        <f t="shared" si="12"/>
        <v>0.30518441886134162</v>
      </c>
      <c r="AM15" s="24">
        <f t="shared" si="13"/>
        <v>0.45419907105839341</v>
      </c>
      <c r="AN15" s="25">
        <f>1000*AJ15/(Population!V15*0.596+Population!W15)</f>
        <v>132.96378586357741</v>
      </c>
      <c r="AO15" s="25"/>
      <c r="AP15" s="25">
        <f t="shared" si="14"/>
        <v>102.04137754793368</v>
      </c>
      <c r="AQ15" s="25">
        <f t="shared" si="15"/>
        <v>159.47050461975837</v>
      </c>
      <c r="AR15" s="25">
        <f t="shared" si="16"/>
        <v>163.6114140952115</v>
      </c>
      <c r="AS15" s="25">
        <f t="shared" si="17"/>
        <v>137.74112663366444</v>
      </c>
      <c r="AT15" s="25">
        <f t="shared" si="18"/>
        <v>96.531652610339961</v>
      </c>
      <c r="AU15">
        <f>+A15</f>
        <v>1712</v>
      </c>
    </row>
    <row r="16" spans="1:47" x14ac:dyDescent="0.2">
      <c r="A16">
        <v>1713</v>
      </c>
      <c r="B16">
        <v>2701500</v>
      </c>
      <c r="C16" s="25">
        <v>1816.5</v>
      </c>
      <c r="D16" s="25"/>
      <c r="E16" s="25">
        <f>+C16*0.8</f>
        <v>1453.2</v>
      </c>
      <c r="F16" s="24">
        <f>+E16/(Population!AE16+Population!AG16)</f>
        <v>0.60176464287772269</v>
      </c>
      <c r="G16" s="25">
        <f>+C16+(Population!V16-Population!AE16)*0.3</f>
        <v>2858.2987447324153</v>
      </c>
      <c r="H16" s="66">
        <v>1437</v>
      </c>
      <c r="I16" s="67">
        <v>13066</v>
      </c>
      <c r="J16" s="25">
        <v>79.5</v>
      </c>
      <c r="K16" s="25">
        <v>886</v>
      </c>
      <c r="L16" s="25">
        <v>141</v>
      </c>
      <c r="M16">
        <v>822</v>
      </c>
      <c r="N16" s="25">
        <f t="shared" si="0"/>
        <v>14774</v>
      </c>
      <c r="O16" s="25">
        <f t="shared" si="1"/>
        <v>14774</v>
      </c>
      <c r="P16" s="25">
        <f t="shared" si="2"/>
        <v>19206.2</v>
      </c>
      <c r="Q16" s="25">
        <f>2.5*Population!U16+1.25*(Population!V16-Population!U16)</f>
        <v>11508.550179970822</v>
      </c>
      <c r="R16">
        <v>2769</v>
      </c>
      <c r="S16" s="33">
        <f t="shared" si="3"/>
        <v>2640</v>
      </c>
      <c r="T16">
        <f>+A16</f>
        <v>1713</v>
      </c>
      <c r="U16" s="25">
        <f t="shared" si="4"/>
        <v>16917.550179970822</v>
      </c>
      <c r="V16" s="25">
        <f t="shared" si="5"/>
        <v>19206.2</v>
      </c>
      <c r="W16">
        <v>1.3</v>
      </c>
      <c r="X16">
        <v>66</v>
      </c>
      <c r="Y16" s="25">
        <f>+'Livestock in possession'!AD15/1000</f>
        <v>1812.2864230300606</v>
      </c>
      <c r="Z16" s="40">
        <f>+('Meat supplied to the Company'!Q15*0.2+'Meat supplied to the Company'!R15*0.8)</f>
        <v>0.14958333333333335</v>
      </c>
      <c r="AA16" s="25">
        <f t="shared" si="6"/>
        <v>271.0878441115799</v>
      </c>
      <c r="AB16" s="25"/>
      <c r="AC16" s="25">
        <f t="shared" si="7"/>
        <v>271.0878441115799</v>
      </c>
      <c r="AD16" s="25"/>
      <c r="AE16" s="24">
        <f>+'Exports in money value'!J18</f>
        <v>8.3299541855039543</v>
      </c>
      <c r="AF16" s="25">
        <f t="shared" si="8"/>
        <v>150.45459200387361</v>
      </c>
      <c r="AG16" s="41">
        <v>83.87837115096201</v>
      </c>
      <c r="AH16" s="25">
        <f t="shared" si="9"/>
        <v>239.74944297099435</v>
      </c>
      <c r="AI16" s="25">
        <v>-188.56790887725563</v>
      </c>
      <c r="AJ16" s="25">
        <f t="shared" si="10"/>
        <v>472.7239702091922</v>
      </c>
      <c r="AK16" s="24">
        <f t="shared" si="11"/>
        <v>0.57345906109143718</v>
      </c>
      <c r="AL16" s="24">
        <f t="shared" si="12"/>
        <v>0.31827155271456553</v>
      </c>
      <c r="AM16" s="24">
        <f t="shared" si="13"/>
        <v>0.50716582631699259</v>
      </c>
      <c r="AN16" s="25">
        <f>1000*AJ16/(Population!V16*0.596+Population!W16)</f>
        <v>147.78434685359963</v>
      </c>
      <c r="AO16" s="25"/>
      <c r="AP16" s="25">
        <f t="shared" si="14"/>
        <v>104.12442731879943</v>
      </c>
      <c r="AQ16" s="25">
        <f t="shared" si="15"/>
        <v>159.47050461975837</v>
      </c>
      <c r="AR16" s="25">
        <f t="shared" si="16"/>
        <v>143.13715213474745</v>
      </c>
      <c r="AS16" s="25">
        <f t="shared" si="17"/>
        <v>132.43206795387152</v>
      </c>
      <c r="AT16" s="25">
        <f t="shared" si="18"/>
        <v>111.59256903326133</v>
      </c>
      <c r="AU16">
        <f>+A16</f>
        <v>1713</v>
      </c>
    </row>
    <row r="17" spans="1:47" x14ac:dyDescent="0.2">
      <c r="A17">
        <v>1714</v>
      </c>
      <c r="B17">
        <v>2282160</v>
      </c>
      <c r="C17" s="25">
        <v>1617</v>
      </c>
      <c r="D17" s="25"/>
      <c r="E17" s="25">
        <f>+C17*0.8</f>
        <v>1293.6000000000001</v>
      </c>
      <c r="F17" s="24">
        <f>+E17/(Population!AE17+Population!AG17)</f>
        <v>0.55508004033163205</v>
      </c>
      <c r="G17" s="25">
        <f>+C17+(Population!V17-Population!AE17)*0.3</f>
        <v>2640.6307220354779</v>
      </c>
      <c r="H17" s="25">
        <v>1284.5</v>
      </c>
      <c r="I17" s="25">
        <v>12360</v>
      </c>
      <c r="J17" s="25">
        <v>62</v>
      </c>
      <c r="K17" s="25">
        <v>647</v>
      </c>
      <c r="L17" s="25">
        <v>116.5</v>
      </c>
      <c r="M17">
        <v>164</v>
      </c>
      <c r="N17" s="25">
        <f t="shared" si="0"/>
        <v>13171</v>
      </c>
      <c r="O17" s="25">
        <f t="shared" si="1"/>
        <v>13171</v>
      </c>
      <c r="P17" s="25">
        <f t="shared" si="2"/>
        <v>17122.3</v>
      </c>
      <c r="Q17" s="25">
        <f>2.5*Population!U17+1.25*(Population!V17-Population!U17)</f>
        <v>11421.496059475106</v>
      </c>
      <c r="R17">
        <v>4375</v>
      </c>
      <c r="S17" s="33">
        <f t="shared" si="3"/>
        <v>2560</v>
      </c>
      <c r="T17">
        <f>+A17</f>
        <v>1714</v>
      </c>
      <c r="U17" s="25">
        <f t="shared" si="4"/>
        <v>18356.496059475106</v>
      </c>
      <c r="V17" s="25">
        <f t="shared" si="5"/>
        <v>17122.3</v>
      </c>
      <c r="W17">
        <v>1.3</v>
      </c>
      <c r="X17">
        <v>64</v>
      </c>
      <c r="Y17" s="25">
        <f>+'Livestock in possession'!AD16/1000</f>
        <v>1761.6500992991782</v>
      </c>
      <c r="Z17" s="40">
        <f>+('Meat supplied to the Company'!Q16*0.2+'Meat supplied to the Company'!R16*0.8)</f>
        <v>0.14958333333333335</v>
      </c>
      <c r="AA17" s="25">
        <f t="shared" si="6"/>
        <v>263.51349402016876</v>
      </c>
      <c r="AB17" s="25"/>
      <c r="AC17" s="25">
        <f t="shared" si="7"/>
        <v>263.51349402016876</v>
      </c>
      <c r="AD17" s="25"/>
      <c r="AE17" s="24">
        <f>+'Exports in money value'!J19</f>
        <v>8.4999999999999964</v>
      </c>
      <c r="AF17" s="25">
        <f t="shared" si="8"/>
        <v>150.78488325276913</v>
      </c>
      <c r="AG17" s="41">
        <v>73.381867876670654</v>
      </c>
      <c r="AH17" s="25">
        <f t="shared" si="9"/>
        <v>193.77441475548488</v>
      </c>
      <c r="AI17" s="25">
        <v>-121.64177184246505</v>
      </c>
      <c r="AJ17" s="25">
        <f t="shared" si="10"/>
        <v>486.43102018595772</v>
      </c>
      <c r="AK17" s="24">
        <f t="shared" si="11"/>
        <v>0.54172839125150818</v>
      </c>
      <c r="AL17" s="24">
        <f t="shared" si="12"/>
        <v>0.30998204677638685</v>
      </c>
      <c r="AM17" s="24">
        <f t="shared" si="13"/>
        <v>0.39835949335921639</v>
      </c>
      <c r="AN17" s="25">
        <f>1000*AJ17/(Population!V17*0.596+Population!W17)</f>
        <v>155.67362430025449</v>
      </c>
      <c r="AO17" s="25"/>
      <c r="AP17" s="25">
        <f t="shared" si="14"/>
        <v>106.24999999999996</v>
      </c>
      <c r="AQ17" s="25">
        <f t="shared" si="15"/>
        <v>159.47050461975837</v>
      </c>
      <c r="AR17" s="25">
        <f t="shared" si="16"/>
        <v>125.22503050626392</v>
      </c>
      <c r="AS17" s="25">
        <f t="shared" si="17"/>
        <v>127.90866053780667</v>
      </c>
      <c r="AT17" s="25">
        <f t="shared" si="18"/>
        <v>121.70686773335507</v>
      </c>
      <c r="AU17">
        <f>+A17</f>
        <v>1714</v>
      </c>
    </row>
    <row r="18" spans="1:47" x14ac:dyDescent="0.2">
      <c r="A18">
        <v>1715</v>
      </c>
      <c r="B18" s="7">
        <v>2819600</v>
      </c>
      <c r="C18" s="25">
        <v>1347.5</v>
      </c>
      <c r="D18" s="25"/>
      <c r="E18" s="25">
        <f>+C18*0.8</f>
        <v>1078</v>
      </c>
      <c r="F18" s="24">
        <f>+E18/(Population!AE18+Population!AG18)</f>
        <v>0.38946695318637292</v>
      </c>
      <c r="G18" s="25">
        <f>+C18+(Population!V18-Population!AE18)*0.3</f>
        <v>2479.8986301734258</v>
      </c>
      <c r="H18" s="25">
        <v>1435</v>
      </c>
      <c r="I18" s="68">
        <v>9181</v>
      </c>
      <c r="J18" s="25">
        <v>69.75</v>
      </c>
      <c r="K18" s="25">
        <v>904</v>
      </c>
      <c r="L18" s="25">
        <v>25</v>
      </c>
      <c r="M18">
        <v>140</v>
      </c>
      <c r="N18" s="25">
        <f t="shared" si="0"/>
        <v>10225</v>
      </c>
      <c r="O18" s="25">
        <f t="shared" si="1"/>
        <v>10225</v>
      </c>
      <c r="P18" s="25">
        <f t="shared" si="2"/>
        <v>13292.5</v>
      </c>
      <c r="Q18" s="25">
        <f>2.5*Population!U18+1.25*(Population!V18-Population!U18)</f>
        <v>12733.855264626169</v>
      </c>
      <c r="R18">
        <v>6300</v>
      </c>
      <c r="S18" s="33">
        <f t="shared" si="3"/>
        <v>3280</v>
      </c>
      <c r="T18">
        <f>+A18</f>
        <v>1715</v>
      </c>
      <c r="U18" s="25">
        <f t="shared" si="4"/>
        <v>22313.855264626167</v>
      </c>
      <c r="V18" s="25">
        <f t="shared" si="5"/>
        <v>13292.5</v>
      </c>
      <c r="W18">
        <v>1.3</v>
      </c>
      <c r="X18">
        <v>82</v>
      </c>
      <c r="Y18" s="25">
        <f>+'Livestock in possession'!AD17/1000</f>
        <v>1788.033805923867</v>
      </c>
      <c r="Z18" s="40">
        <f>+('Meat supplied to the Company'!Q17*0.2+'Meat supplied to the Company'!R17*0.8)</f>
        <v>0.12857142857142861</v>
      </c>
      <c r="AA18" s="25">
        <f t="shared" si="6"/>
        <v>229.89006076164011</v>
      </c>
      <c r="AB18" s="25"/>
      <c r="AC18" s="25">
        <f t="shared" si="7"/>
        <v>229.89006076164011</v>
      </c>
      <c r="AD18" s="25"/>
      <c r="AE18" s="24">
        <f>+'Exports in money value'!J20</f>
        <v>8.3299541855039561</v>
      </c>
      <c r="AF18" s="25">
        <f t="shared" si="8"/>
        <v>148.29965403355678</v>
      </c>
      <c r="AG18" s="41">
        <v>64.198892505644352</v>
      </c>
      <c r="AH18" s="25">
        <f t="shared" si="9"/>
        <v>159.20674558339843</v>
      </c>
      <c r="AI18" s="25">
        <v>-84.74727963987884</v>
      </c>
      <c r="AJ18" s="25">
        <f t="shared" si="10"/>
        <v>452.64918073871644</v>
      </c>
      <c r="AK18" s="24">
        <f t="shared" si="11"/>
        <v>0.50787689571527139</v>
      </c>
      <c r="AL18" s="24">
        <f t="shared" si="12"/>
        <v>0.32762602992351392</v>
      </c>
      <c r="AM18" s="24">
        <f t="shared" si="13"/>
        <v>0.35172215560751813</v>
      </c>
      <c r="AN18" s="25">
        <f>1000*AJ18/(Population!V18*0.596+Population!W18)</f>
        <v>130.82234875640691</v>
      </c>
      <c r="AO18" s="25"/>
      <c r="AP18" s="25">
        <f t="shared" si="14"/>
        <v>104.12442731879945</v>
      </c>
      <c r="AQ18" s="25">
        <f t="shared" si="15"/>
        <v>137.06975327444417</v>
      </c>
      <c r="AR18" s="25">
        <f t="shared" si="16"/>
        <v>109.55442407106544</v>
      </c>
      <c r="AS18" s="25">
        <f t="shared" si="17"/>
        <v>115.63702413117267</v>
      </c>
      <c r="AT18" s="25">
        <f t="shared" si="18"/>
        <v>113.13188811224406</v>
      </c>
      <c r="AU18">
        <f>+A18</f>
        <v>1715</v>
      </c>
    </row>
    <row r="19" spans="1:47" x14ac:dyDescent="0.2">
      <c r="A19">
        <v>1716</v>
      </c>
      <c r="B19">
        <v>2092900</v>
      </c>
      <c r="C19" s="25">
        <v>1148.5</v>
      </c>
      <c r="D19" s="25"/>
      <c r="E19" s="25">
        <f>+C19*0.8</f>
        <v>918.80000000000007</v>
      </c>
      <c r="F19" s="24">
        <f>+E19/(Population!AE19+Population!AG19)</f>
        <v>0.35180245821599604</v>
      </c>
      <c r="G19" s="25">
        <f>+C19+(Population!V19-Population!AE19)*0.3</f>
        <v>2342.7048054862453</v>
      </c>
      <c r="H19" s="25">
        <v>1576.25</v>
      </c>
      <c r="I19" s="25">
        <v>16087.5</v>
      </c>
      <c r="J19" s="25">
        <v>89.5</v>
      </c>
      <c r="K19" s="25">
        <v>982.5</v>
      </c>
      <c r="L19" s="25">
        <v>73.5</v>
      </c>
      <c r="M19">
        <v>458</v>
      </c>
      <c r="N19" s="25">
        <f t="shared" si="0"/>
        <v>17528</v>
      </c>
      <c r="O19" s="25">
        <f t="shared" si="1"/>
        <v>17528</v>
      </c>
      <c r="P19" s="25">
        <f t="shared" si="2"/>
        <v>22786.400000000001</v>
      </c>
      <c r="Q19" s="25">
        <f>2.5*Population!U19+1.25*(Population!V19-Population!U19)</f>
        <v>13423.53575777082</v>
      </c>
      <c r="R19">
        <v>5548</v>
      </c>
      <c r="S19" s="33">
        <f t="shared" si="3"/>
        <v>2640</v>
      </c>
      <c r="T19">
        <f>+A19</f>
        <v>1716</v>
      </c>
      <c r="U19" s="25">
        <f t="shared" si="4"/>
        <v>21611.53575777082</v>
      </c>
      <c r="V19" s="25">
        <f t="shared" si="5"/>
        <v>22786.400000000001</v>
      </c>
      <c r="W19">
        <v>1.3</v>
      </c>
      <c r="X19">
        <v>66</v>
      </c>
      <c r="Y19" s="25">
        <f>+'Livestock in possession'!AD18/1000</f>
        <v>1593.3984890306394</v>
      </c>
      <c r="Z19" s="40">
        <f>+('Meat supplied to the Company'!Q18*0.2+'Meat supplied to the Company'!R18*0.8)</f>
        <v>0.12857142857142861</v>
      </c>
      <c r="AA19" s="25">
        <f t="shared" si="6"/>
        <v>204.86552001822514</v>
      </c>
      <c r="AB19" s="25"/>
      <c r="AC19" s="25">
        <f t="shared" si="7"/>
        <v>204.86552001822514</v>
      </c>
      <c r="AD19" s="25"/>
      <c r="AE19" s="24">
        <f>+'Exports in money value'!J21</f>
        <v>8.1633102038346959</v>
      </c>
      <c r="AF19" s="25">
        <f t="shared" si="8"/>
        <v>181.21706100030391</v>
      </c>
      <c r="AG19" s="41">
        <v>56.165070721258807</v>
      </c>
      <c r="AH19" s="25">
        <f t="shared" si="9"/>
        <v>131.57818107916782</v>
      </c>
      <c r="AI19" s="25">
        <v>-35.273596608618533</v>
      </c>
      <c r="AJ19" s="25">
        <f t="shared" si="10"/>
        <v>482.38716548907837</v>
      </c>
      <c r="AK19" s="24">
        <f t="shared" si="11"/>
        <v>0.42469106699909381</v>
      </c>
      <c r="AL19" s="24">
        <f t="shared" si="12"/>
        <v>0.37566725229219811</v>
      </c>
      <c r="AM19" s="24">
        <f t="shared" si="13"/>
        <v>0.27276468051500607</v>
      </c>
      <c r="AN19" s="25">
        <f>1000*AJ19/(Population!V19*0.596+Population!W19)</f>
        <v>132.22308215864817</v>
      </c>
      <c r="AO19" s="25"/>
      <c r="AP19" s="25">
        <f t="shared" si="14"/>
        <v>102.04137754793369</v>
      </c>
      <c r="AQ19" s="25">
        <f t="shared" si="15"/>
        <v>137.06975327444417</v>
      </c>
      <c r="AR19" s="25">
        <f t="shared" si="16"/>
        <v>95.844830582352913</v>
      </c>
      <c r="AS19" s="25">
        <f t="shared" si="17"/>
        <v>110.6909261762126</v>
      </c>
      <c r="AT19" s="25">
        <f t="shared" si="18"/>
        <v>119.45250322339685</v>
      </c>
      <c r="AU19">
        <f>+A19</f>
        <v>1716</v>
      </c>
    </row>
    <row r="20" spans="1:47" x14ac:dyDescent="0.2">
      <c r="A20">
        <v>1717</v>
      </c>
      <c r="B20">
        <v>2333100</v>
      </c>
      <c r="C20" s="25">
        <v>1111</v>
      </c>
      <c r="D20" s="25"/>
      <c r="E20" s="25">
        <f>+C20*0.8</f>
        <v>888.80000000000007</v>
      </c>
      <c r="F20" s="24">
        <f>+E20/(Population!AE20+Population!AG20)</f>
        <v>0.30211360490570577</v>
      </c>
      <c r="G20" s="25">
        <f>+C20+(Population!V20-Population!AE20)*0.3</f>
        <v>2328.8657361629112</v>
      </c>
      <c r="H20" s="25">
        <v>1627</v>
      </c>
      <c r="I20" s="25">
        <v>15319</v>
      </c>
      <c r="J20" s="25">
        <v>87.5</v>
      </c>
      <c r="K20" s="25">
        <v>1296.5</v>
      </c>
      <c r="L20" s="25">
        <v>42.5</v>
      </c>
      <c r="M20">
        <v>359</v>
      </c>
      <c r="N20" s="25">
        <f t="shared" si="0"/>
        <v>16974.5</v>
      </c>
      <c r="O20" s="25">
        <f t="shared" si="1"/>
        <v>16974.5</v>
      </c>
      <c r="P20" s="25">
        <f t="shared" si="2"/>
        <v>22066.850000000002</v>
      </c>
      <c r="Q20" s="25">
        <f>2.5*Population!U20+1.25*(Population!V20-Population!U20)</f>
        <v>13654.387362737149</v>
      </c>
      <c r="R20">
        <v>6563</v>
      </c>
      <c r="S20" s="33">
        <f t="shared" si="3"/>
        <v>3560</v>
      </c>
      <c r="T20">
        <f>+A20</f>
        <v>1717</v>
      </c>
      <c r="U20" s="25">
        <f t="shared" si="4"/>
        <v>23777.38736273715</v>
      </c>
      <c r="V20" s="25">
        <f t="shared" si="5"/>
        <v>22066.850000000002</v>
      </c>
      <c r="W20">
        <v>1.3</v>
      </c>
      <c r="X20">
        <v>89</v>
      </c>
      <c r="Y20" s="25">
        <f>+'Livestock in possession'!AD19/1000</f>
        <v>1691.7015393039885</v>
      </c>
      <c r="Z20" s="40">
        <f>+('Meat supplied to the Company'!Q19*0.2+'Meat supplied to the Company'!R19*0.8)</f>
        <v>0.12857142857142861</v>
      </c>
      <c r="AA20" s="25">
        <f t="shared" si="6"/>
        <v>217.50448362479858</v>
      </c>
      <c r="AB20" s="25"/>
      <c r="AC20" s="25">
        <f t="shared" si="7"/>
        <v>217.50448362479858</v>
      </c>
      <c r="AD20" s="25"/>
      <c r="AE20" s="24">
        <f>+'Exports in money value'!J22</f>
        <v>8</v>
      </c>
      <c r="AF20" s="25">
        <f t="shared" si="8"/>
        <v>183.37694945094862</v>
      </c>
      <c r="AG20" s="41">
        <v>49.136597938144483</v>
      </c>
      <c r="AH20" s="25">
        <f t="shared" si="9"/>
        <v>114.43253932975784</v>
      </c>
      <c r="AI20" s="25">
        <v>-2.8427728227269546</v>
      </c>
      <c r="AJ20" s="25">
        <f t="shared" si="10"/>
        <v>512.47119958277813</v>
      </c>
      <c r="AK20" s="24">
        <f t="shared" si="11"/>
        <v>0.42442284327758728</v>
      </c>
      <c r="AL20" s="24">
        <f t="shared" si="12"/>
        <v>0.35782879037932785</v>
      </c>
      <c r="AM20" s="24">
        <f t="shared" si="13"/>
        <v>0.22329555187281086</v>
      </c>
      <c r="AN20" s="25">
        <f>1000*AJ20/(Population!V20*0.596+Population!W20)</f>
        <v>137.81669840704791</v>
      </c>
      <c r="AO20" s="25"/>
      <c r="AP20" s="25">
        <f t="shared" si="14"/>
        <v>100</v>
      </c>
      <c r="AQ20" s="25">
        <f t="shared" si="15"/>
        <v>137.06975327444417</v>
      </c>
      <c r="AR20" s="25">
        <f t="shared" si="16"/>
        <v>83.850849723796046</v>
      </c>
      <c r="AS20" s="25">
        <f t="shared" si="17"/>
        <v>106.27618089947205</v>
      </c>
      <c r="AT20" s="25">
        <f t="shared" si="18"/>
        <v>129.67788006741645</v>
      </c>
      <c r="AU20">
        <f>+A20</f>
        <v>1717</v>
      </c>
    </row>
    <row r="21" spans="1:47" x14ac:dyDescent="0.2">
      <c r="A21">
        <v>1718</v>
      </c>
      <c r="B21">
        <v>2264100</v>
      </c>
      <c r="C21" s="25">
        <v>1386</v>
      </c>
      <c r="D21" s="25"/>
      <c r="E21" s="25">
        <f>+C21*0.8</f>
        <v>1108.8</v>
      </c>
      <c r="F21" s="24">
        <f>+E21/(Population!AE21+Population!AG21)</f>
        <v>0.3800666823172445</v>
      </c>
      <c r="G21" s="25">
        <f>+C21+(Population!V21-Population!AE21)*0.3</f>
        <v>2643.5164064325645</v>
      </c>
      <c r="H21" s="25">
        <v>1543.5</v>
      </c>
      <c r="I21" s="25">
        <v>13193.5</v>
      </c>
      <c r="J21" s="25">
        <v>68</v>
      </c>
      <c r="K21" s="25">
        <v>748</v>
      </c>
      <c r="L21" s="25">
        <v>35.5</v>
      </c>
      <c r="M21">
        <v>284</v>
      </c>
      <c r="N21" s="25">
        <f t="shared" si="0"/>
        <v>14225.5</v>
      </c>
      <c r="O21" s="25">
        <f t="shared" si="1"/>
        <v>14225.5</v>
      </c>
      <c r="P21" s="25">
        <f t="shared" si="2"/>
        <v>18493.150000000001</v>
      </c>
      <c r="Q21" s="25">
        <f>2.5*Population!U21+1.25*(Population!V21-Population!U21)</f>
        <v>14043.051986579019</v>
      </c>
      <c r="R21">
        <v>6563</v>
      </c>
      <c r="S21" s="33">
        <f t="shared" si="3"/>
        <v>3520</v>
      </c>
      <c r="T21">
        <f>+A21</f>
        <v>1718</v>
      </c>
      <c r="U21" s="25">
        <f t="shared" si="4"/>
        <v>24126.051986579019</v>
      </c>
      <c r="V21" s="25">
        <f t="shared" si="5"/>
        <v>18493.150000000001</v>
      </c>
      <c r="W21">
        <v>1.3</v>
      </c>
      <c r="X21">
        <v>88</v>
      </c>
      <c r="Y21" s="25">
        <f>+'Livestock in possession'!AD20/1000</f>
        <v>1750.1705856268666</v>
      </c>
      <c r="Z21" s="40">
        <f>+('Meat supplied to the Company'!Q20*0.2+'Meat supplied to the Company'!R20*0.8)</f>
        <v>0.18238095238095239</v>
      </c>
      <c r="AA21" s="25">
        <f t="shared" si="6"/>
        <v>319.19777823575714</v>
      </c>
      <c r="AB21" s="25"/>
      <c r="AC21" s="25">
        <f t="shared" si="7"/>
        <v>319.19777823575714</v>
      </c>
      <c r="AD21" s="25"/>
      <c r="AE21" s="24">
        <f>+'Exports in money value'!J23</f>
        <v>8</v>
      </c>
      <c r="AF21" s="25">
        <f t="shared" si="8"/>
        <v>170.47680794631609</v>
      </c>
      <c r="AG21" s="41">
        <v>59.688524460789971</v>
      </c>
      <c r="AH21" s="25">
        <f t="shared" si="9"/>
        <v>157.78759368784972</v>
      </c>
      <c r="AI21" s="25">
        <v>50.879321405144537</v>
      </c>
      <c r="AJ21" s="25">
        <f t="shared" si="10"/>
        <v>698.34150127506746</v>
      </c>
      <c r="AK21" s="24">
        <f t="shared" si="11"/>
        <v>0.4570797778063449</v>
      </c>
      <c r="AL21" s="24">
        <f t="shared" si="12"/>
        <v>0.24411667878115628</v>
      </c>
      <c r="AM21" s="24">
        <f t="shared" si="13"/>
        <v>0.22594617876748424</v>
      </c>
      <c r="AN21" s="25">
        <f>1000*AJ21/(Population!V21*0.596+Population!W21)</f>
        <v>181.93212228244749</v>
      </c>
      <c r="AO21" s="25"/>
      <c r="AP21" s="25">
        <f t="shared" si="14"/>
        <v>100</v>
      </c>
      <c r="AQ21" s="25">
        <f t="shared" si="15"/>
        <v>194.43598334856335</v>
      </c>
      <c r="AR21" s="25">
        <f t="shared" si="16"/>
        <v>101.8575502743856</v>
      </c>
      <c r="AS21" s="25">
        <f t="shared" si="17"/>
        <v>128.88806008688471</v>
      </c>
      <c r="AT21" s="25">
        <f t="shared" si="18"/>
        <v>141.1551404837696</v>
      </c>
      <c r="AU21">
        <f>+A21</f>
        <v>1718</v>
      </c>
    </row>
    <row r="22" spans="1:47" x14ac:dyDescent="0.2">
      <c r="A22">
        <v>1719</v>
      </c>
      <c r="B22">
        <v>2342250</v>
      </c>
      <c r="C22" s="25">
        <v>1104.25</v>
      </c>
      <c r="D22" s="25"/>
      <c r="E22" s="25">
        <f>+C22*0.8</f>
        <v>883.40000000000009</v>
      </c>
      <c r="F22" s="24">
        <f>+E22/(Population!AE22+Population!AG22)</f>
        <v>0.28603112718197282</v>
      </c>
      <c r="G22" s="25">
        <f>+C22+(Population!V22-Population!AE22)*0.3</f>
        <v>2378.6289215144989</v>
      </c>
      <c r="H22" s="25">
        <v>1539</v>
      </c>
      <c r="I22" s="25">
        <v>12295</v>
      </c>
      <c r="J22" s="25">
        <v>69</v>
      </c>
      <c r="K22" s="25">
        <v>979.5</v>
      </c>
      <c r="L22" s="25">
        <v>52.5</v>
      </c>
      <c r="M22">
        <v>239</v>
      </c>
      <c r="N22" s="25">
        <f t="shared" si="0"/>
        <v>13513.5</v>
      </c>
      <c r="O22" s="25">
        <f t="shared" si="1"/>
        <v>13513.5</v>
      </c>
      <c r="P22" s="25">
        <f t="shared" si="2"/>
        <v>17567.55</v>
      </c>
      <c r="Q22" s="25">
        <f>2.5*Population!U22+1.25*(Population!V22-Population!U22)</f>
        <v>14272.060349226454</v>
      </c>
      <c r="R22">
        <v>1750</v>
      </c>
      <c r="S22" s="33">
        <f t="shared" si="3"/>
        <v>3600</v>
      </c>
      <c r="T22">
        <f>+A22</f>
        <v>1719</v>
      </c>
      <c r="U22" s="25">
        <f t="shared" si="4"/>
        <v>19622.060349226456</v>
      </c>
      <c r="V22" s="25">
        <f t="shared" si="5"/>
        <v>17567.55</v>
      </c>
      <c r="W22">
        <v>1.3</v>
      </c>
      <c r="X22">
        <v>90</v>
      </c>
      <c r="Y22" s="25">
        <f>+'Livestock in possession'!AD21/1000</f>
        <v>1834.8627816409132</v>
      </c>
      <c r="Z22" s="40">
        <f>+('Meat supplied to the Company'!Q21*0.2+'Meat supplied to the Company'!R21*0.8)</f>
        <v>0.18238095238095239</v>
      </c>
      <c r="AA22" s="25">
        <f t="shared" si="6"/>
        <v>334.64402160403324</v>
      </c>
      <c r="AB22" s="25"/>
      <c r="AC22" s="25">
        <f t="shared" si="7"/>
        <v>334.64402160403324</v>
      </c>
      <c r="AD22" s="25"/>
      <c r="AE22" s="24">
        <f>+'Exports in money value'!J24</f>
        <v>8</v>
      </c>
      <c r="AF22" s="25">
        <f t="shared" si="8"/>
        <v>148.75844139690579</v>
      </c>
      <c r="AG22" s="41">
        <v>72.506443298969245</v>
      </c>
      <c r="AH22" s="25">
        <f t="shared" si="9"/>
        <v>172.46592302707938</v>
      </c>
      <c r="AI22" s="25">
        <v>47.299590077347354</v>
      </c>
      <c r="AJ22" s="25">
        <f t="shared" si="10"/>
        <v>703.16797610536582</v>
      </c>
      <c r="AK22" s="24">
        <f t="shared" si="11"/>
        <v>0.47590907574819463</v>
      </c>
      <c r="AL22" s="24">
        <f t="shared" si="12"/>
        <v>0.21155463054622267</v>
      </c>
      <c r="AM22" s="24">
        <f t="shared" si="13"/>
        <v>0.24526987702471298</v>
      </c>
      <c r="AN22" s="25">
        <f>1000*AJ22/(Population!V22*0.596+Population!W22)</f>
        <v>180.07924953251316</v>
      </c>
      <c r="AO22" s="25"/>
      <c r="AP22" s="25">
        <f t="shared" si="14"/>
        <v>100</v>
      </c>
      <c r="AQ22" s="25">
        <f t="shared" si="15"/>
        <v>194.43598334856335</v>
      </c>
      <c r="AR22" s="25">
        <f t="shared" si="16"/>
        <v>123.73113190950383</v>
      </c>
      <c r="AS22" s="25">
        <f t="shared" si="17"/>
        <v>135.45013457742016</v>
      </c>
      <c r="AT22" s="25">
        <f t="shared" si="18"/>
        <v>132.94874168588149</v>
      </c>
      <c r="AU22">
        <f>+A22</f>
        <v>1719</v>
      </c>
    </row>
    <row r="23" spans="1:47" x14ac:dyDescent="0.2">
      <c r="A23">
        <v>1720</v>
      </c>
      <c r="B23">
        <v>2182100</v>
      </c>
      <c r="C23" s="25">
        <v>677.5</v>
      </c>
      <c r="D23" s="25"/>
      <c r="E23" s="25">
        <f>+C23*0.8</f>
        <v>542</v>
      </c>
      <c r="F23" s="24">
        <f>+E23/(Population!AE23+Population!AG23)</f>
        <v>0.17310970198148862</v>
      </c>
      <c r="G23" s="25">
        <f>+C23+(Population!V23-Population!AE23)*0.3</f>
        <v>1949.03184649323</v>
      </c>
      <c r="H23" s="25">
        <v>1554.5</v>
      </c>
      <c r="I23" s="25">
        <v>8884</v>
      </c>
      <c r="J23" s="25">
        <v>83.25</v>
      </c>
      <c r="K23" s="25">
        <v>964</v>
      </c>
      <c r="L23" s="25">
        <v>42</v>
      </c>
      <c r="M23">
        <v>212</v>
      </c>
      <c r="N23" s="25">
        <f t="shared" si="0"/>
        <v>10060</v>
      </c>
      <c r="O23" s="25">
        <f t="shared" si="1"/>
        <v>10060</v>
      </c>
      <c r="P23" s="25">
        <f t="shared" si="2"/>
        <v>13078</v>
      </c>
      <c r="Q23" s="25">
        <f>2.5*Population!U23+1.25*(Population!V23-Population!U23)</f>
        <v>14218.198544942747</v>
      </c>
      <c r="R23">
        <v>55</v>
      </c>
      <c r="S23" s="33">
        <f t="shared" si="3"/>
        <v>3480</v>
      </c>
      <c r="T23">
        <f>+A23</f>
        <v>1720</v>
      </c>
      <c r="U23" s="25">
        <f t="shared" si="4"/>
        <v>17753.198544942745</v>
      </c>
      <c r="V23" s="25">
        <f t="shared" si="5"/>
        <v>13078</v>
      </c>
      <c r="W23">
        <v>1.3</v>
      </c>
      <c r="X23">
        <v>87</v>
      </c>
      <c r="Y23" s="25">
        <f>+'Livestock in possession'!AD22/1000</f>
        <v>1864.5921566346772</v>
      </c>
      <c r="Z23" s="40">
        <f>+('Meat supplied to the Company'!Q22*0.2+'Meat supplied to the Company'!R22*0.8)</f>
        <v>0.18238095238095239</v>
      </c>
      <c r="AA23" s="25">
        <f t="shared" si="6"/>
        <v>340.06609332908636</v>
      </c>
      <c r="AB23" s="25"/>
      <c r="AC23" s="25">
        <f t="shared" si="7"/>
        <v>340.06609332908636</v>
      </c>
      <c r="AD23" s="25"/>
      <c r="AE23" s="24">
        <f>+'Exports in money value'!J25</f>
        <v>8</v>
      </c>
      <c r="AF23" s="25">
        <f t="shared" si="8"/>
        <v>123.32479417977098</v>
      </c>
      <c r="AG23" s="41">
        <v>75.625</v>
      </c>
      <c r="AH23" s="25">
        <f t="shared" si="9"/>
        <v>147.39553339105052</v>
      </c>
      <c r="AI23" s="25">
        <v>251.97677528898114</v>
      </c>
      <c r="AJ23" s="25">
        <f t="shared" si="10"/>
        <v>862.76319618888897</v>
      </c>
      <c r="AK23" s="24">
        <f t="shared" si="11"/>
        <v>0.39415924883127956</v>
      </c>
      <c r="AL23" s="24">
        <f t="shared" si="12"/>
        <v>0.14294164925501862</v>
      </c>
      <c r="AM23" s="24">
        <f t="shared" si="13"/>
        <v>0.17084123898903597</v>
      </c>
      <c r="AN23" s="25">
        <f>1000*AJ23/(Population!V23*0.596+Population!W23)</f>
        <v>221.38644250766802</v>
      </c>
      <c r="AO23" s="25"/>
      <c r="AP23" s="25">
        <f t="shared" si="14"/>
        <v>100</v>
      </c>
      <c r="AQ23" s="25">
        <f t="shared" si="15"/>
        <v>194.43598334856335</v>
      </c>
      <c r="AR23" s="25">
        <f t="shared" si="16"/>
        <v>129.05290102389077</v>
      </c>
      <c r="AS23" s="25">
        <f t="shared" si="17"/>
        <v>137.04666531173623</v>
      </c>
      <c r="AT23" s="25">
        <f t="shared" si="18"/>
        <v>161.54091893012242</v>
      </c>
      <c r="AU23">
        <f>+A23</f>
        <v>1720</v>
      </c>
    </row>
    <row r="24" spans="1:47" x14ac:dyDescent="0.2">
      <c r="A24">
        <v>1721</v>
      </c>
      <c r="B24">
        <v>2322400</v>
      </c>
      <c r="C24" s="25">
        <v>1177.5</v>
      </c>
      <c r="D24" s="25"/>
      <c r="E24" s="25">
        <f>+C24*0.8</f>
        <v>942</v>
      </c>
      <c r="F24" s="24">
        <f>+E24/(Population!AE24+Population!AG24)</f>
        <v>0.27985066613891696</v>
      </c>
      <c r="G24" s="25">
        <f>+C24+(Population!V24-Population!AE24)*0.3</f>
        <v>2492.1091499140057</v>
      </c>
      <c r="H24" s="25">
        <v>1787</v>
      </c>
      <c r="I24" s="25">
        <v>10041.25</v>
      </c>
      <c r="J24" s="25">
        <v>122</v>
      </c>
      <c r="K24" s="25">
        <v>1424.5</v>
      </c>
      <c r="L24" s="25">
        <v>57</v>
      </c>
      <c r="M24">
        <v>319</v>
      </c>
      <c r="N24" s="25">
        <f t="shared" si="0"/>
        <v>11784.75</v>
      </c>
      <c r="O24" s="25">
        <f t="shared" si="1"/>
        <v>11784.75</v>
      </c>
      <c r="P24" s="25">
        <f t="shared" si="2"/>
        <v>15320.175000000001</v>
      </c>
      <c r="Q24" s="25">
        <f>2.5*Population!U24+1.25*(Population!V24-Population!U24)</f>
        <v>14650.893925614771</v>
      </c>
      <c r="R24">
        <v>35</v>
      </c>
      <c r="S24" s="33">
        <f t="shared" si="3"/>
        <v>4160</v>
      </c>
      <c r="T24">
        <f>+A24</f>
        <v>1721</v>
      </c>
      <c r="U24" s="25">
        <f t="shared" si="4"/>
        <v>18845.893925614771</v>
      </c>
      <c r="V24" s="25">
        <f t="shared" si="5"/>
        <v>15320.175000000001</v>
      </c>
      <c r="W24">
        <v>1.3</v>
      </c>
      <c r="X24">
        <v>104</v>
      </c>
      <c r="Y24" s="25">
        <f>+'Livestock in possession'!AD23/1000</f>
        <v>2049.5997225088972</v>
      </c>
      <c r="Z24" s="40">
        <f>+('Meat supplied to the Company'!Q23*0.2+'Meat supplied to the Company'!R23*0.8)</f>
        <v>0.18238095238095239</v>
      </c>
      <c r="AA24" s="25">
        <f t="shared" si="6"/>
        <v>373.80794939090845</v>
      </c>
      <c r="AB24" s="25"/>
      <c r="AC24" s="25">
        <f t="shared" si="7"/>
        <v>373.80794939090845</v>
      </c>
      <c r="AD24" s="25"/>
      <c r="AE24" s="24">
        <f>+'Exports in money value'!J26</f>
        <v>8</v>
      </c>
      <c r="AF24" s="25">
        <f t="shared" si="8"/>
        <v>136.66427570245909</v>
      </c>
      <c r="AG24" s="41">
        <v>58.724226804123752</v>
      </c>
      <c r="AH24" s="25">
        <f t="shared" si="9"/>
        <v>146.34718294018211</v>
      </c>
      <c r="AI24" s="25">
        <v>190.96614411428286</v>
      </c>
      <c r="AJ24" s="25">
        <f t="shared" si="10"/>
        <v>847.7855521478325</v>
      </c>
      <c r="AK24" s="24">
        <f t="shared" si="11"/>
        <v>0.4409227645409623</v>
      </c>
      <c r="AL24" s="24">
        <f t="shared" si="12"/>
        <v>0.16120146817343767</v>
      </c>
      <c r="AM24" s="24">
        <f t="shared" si="13"/>
        <v>0.17262287918143576</v>
      </c>
      <c r="AN24" s="25">
        <f>1000*AJ24/(Population!V24*0.596+Population!W24)</f>
        <v>210.34759821516982</v>
      </c>
      <c r="AO24" s="25"/>
      <c r="AP24" s="25">
        <f t="shared" si="14"/>
        <v>100</v>
      </c>
      <c r="AQ24" s="25">
        <f t="shared" si="15"/>
        <v>194.43598334856335</v>
      </c>
      <c r="AR24" s="25">
        <f t="shared" si="16"/>
        <v>100.21199113331699</v>
      </c>
      <c r="AS24" s="25">
        <f t="shared" si="17"/>
        <v>128.3943923445641</v>
      </c>
      <c r="AT24" s="25">
        <f t="shared" si="18"/>
        <v>163.82927195969197</v>
      </c>
      <c r="AU24">
        <f>+A24</f>
        <v>1721</v>
      </c>
    </row>
    <row r="25" spans="1:47" x14ac:dyDescent="0.2">
      <c r="A25">
        <v>1722</v>
      </c>
      <c r="B25">
        <v>2261700</v>
      </c>
      <c r="C25" s="25">
        <v>1006</v>
      </c>
      <c r="D25" s="25"/>
      <c r="E25" s="25">
        <f>+C25*0.8</f>
        <v>804.80000000000007</v>
      </c>
      <c r="F25" s="24">
        <f>+E25/(Population!AE25+Population!AG25)</f>
        <v>0.24581878246083641</v>
      </c>
      <c r="G25" s="25">
        <f>+C25+(Population!V25-Population!AE25)*0.3</f>
        <v>2398.9094547261848</v>
      </c>
      <c r="H25" s="25">
        <v>1575.5</v>
      </c>
      <c r="I25" s="25">
        <v>13827</v>
      </c>
      <c r="J25" s="25">
        <v>100.5</v>
      </c>
      <c r="K25" s="25">
        <v>1485.5</v>
      </c>
      <c r="L25" s="25">
        <v>64</v>
      </c>
      <c r="M25">
        <v>367</v>
      </c>
      <c r="N25" s="25">
        <f t="shared" si="0"/>
        <v>15679.5</v>
      </c>
      <c r="O25" s="25">
        <f t="shared" si="1"/>
        <v>15679.5</v>
      </c>
      <c r="P25" s="25">
        <f t="shared" si="2"/>
        <v>20383.350000000002</v>
      </c>
      <c r="Q25" s="25">
        <f>2.5*Population!U25+1.25*(Population!V25-Population!U25)</f>
        <v>15621.210467999585</v>
      </c>
      <c r="R25">
        <v>3500</v>
      </c>
      <c r="S25" s="33">
        <f t="shared" si="3"/>
        <v>4040</v>
      </c>
      <c r="T25">
        <f>+A25</f>
        <v>1722</v>
      </c>
      <c r="U25" s="25">
        <f t="shared" si="4"/>
        <v>23161.210467999583</v>
      </c>
      <c r="V25" s="25">
        <f t="shared" si="5"/>
        <v>20383.350000000002</v>
      </c>
      <c r="W25">
        <v>1.3</v>
      </c>
      <c r="X25">
        <v>101</v>
      </c>
      <c r="Y25" s="25">
        <f>+'Livestock in possession'!AD24/1000</f>
        <v>2074.742435301871</v>
      </c>
      <c r="Z25" s="40">
        <f>+('Meat supplied to the Company'!Q24*0.2+'Meat supplied to the Company'!R24*0.8)</f>
        <v>0.18238095238095239</v>
      </c>
      <c r="AA25" s="25">
        <f t="shared" si="6"/>
        <v>378.39350129553173</v>
      </c>
      <c r="AB25" s="25"/>
      <c r="AC25" s="25">
        <f t="shared" si="7"/>
        <v>378.39350129553173</v>
      </c>
      <c r="AD25" s="25"/>
      <c r="AE25" s="24">
        <f>+'Exports in money value'!J27</f>
        <v>8</v>
      </c>
      <c r="AF25" s="25">
        <f t="shared" si="8"/>
        <v>174.17824187199835</v>
      </c>
      <c r="AG25" s="41">
        <v>74.90335051546387</v>
      </c>
      <c r="AH25" s="25">
        <f t="shared" si="9"/>
        <v>179.68635574221574</v>
      </c>
      <c r="AI25" s="25">
        <v>245.34781217241223</v>
      </c>
      <c r="AJ25" s="25">
        <f t="shared" si="10"/>
        <v>977.60591108215795</v>
      </c>
      <c r="AK25" s="24">
        <f t="shared" si="11"/>
        <v>0.38706138844503324</v>
      </c>
      <c r="AL25" s="24">
        <f t="shared" si="12"/>
        <v>0.17816815538604125</v>
      </c>
      <c r="AM25" s="24">
        <f t="shared" si="13"/>
        <v>0.18380244401684567</v>
      </c>
      <c r="AN25" s="25">
        <f>1000*AJ25/(Population!V25*0.596+Population!W25)</f>
        <v>228.79637698226958</v>
      </c>
      <c r="AO25" s="25"/>
      <c r="AP25" s="25">
        <f t="shared" si="14"/>
        <v>100</v>
      </c>
      <c r="AQ25" s="25">
        <f t="shared" si="15"/>
        <v>194.43598334856335</v>
      </c>
      <c r="AR25" s="25">
        <f t="shared" si="16"/>
        <v>127.82141726188374</v>
      </c>
      <c r="AS25" s="25">
        <f t="shared" si="17"/>
        <v>136.67722018313412</v>
      </c>
      <c r="AT25" s="25">
        <f t="shared" si="18"/>
        <v>167.39905645996075</v>
      </c>
      <c r="AU25">
        <f>+A25</f>
        <v>1722</v>
      </c>
    </row>
    <row r="26" spans="1:47" x14ac:dyDescent="0.2">
      <c r="A26">
        <v>1723</v>
      </c>
      <c r="B26">
        <v>2379200</v>
      </c>
      <c r="C26" s="25">
        <v>1625.5</v>
      </c>
      <c r="D26" s="25"/>
      <c r="E26" s="25">
        <f>+C26*0.8</f>
        <v>1300.4000000000001</v>
      </c>
      <c r="F26" s="24">
        <f>+E26/(Population!AE26+Population!AG26)</f>
        <v>0.38881263215446676</v>
      </c>
      <c r="G26" s="25">
        <f>+C26+(Population!V26-Population!AE26)*0.3</f>
        <v>3097.1909176040308</v>
      </c>
      <c r="H26" s="25">
        <v>1754.5</v>
      </c>
      <c r="I26" s="25">
        <v>16209</v>
      </c>
      <c r="J26" s="25">
        <v>127</v>
      </c>
      <c r="K26" s="25">
        <v>1672.6</v>
      </c>
      <c r="L26" s="25">
        <v>64</v>
      </c>
      <c r="M26">
        <v>485</v>
      </c>
      <c r="N26" s="25">
        <f t="shared" si="0"/>
        <v>18366.599999999999</v>
      </c>
      <c r="O26" s="25">
        <f t="shared" si="1"/>
        <v>18366.599999999999</v>
      </c>
      <c r="P26" s="25">
        <f t="shared" si="2"/>
        <v>23876.579999999998</v>
      </c>
      <c r="Q26" s="25">
        <f>2.5*Population!U26+1.25*(Population!V26-Population!U26)</f>
        <v>16489.212802934886</v>
      </c>
      <c r="R26">
        <v>4375</v>
      </c>
      <c r="S26" s="33">
        <f t="shared" si="3"/>
        <v>3840</v>
      </c>
      <c r="T26">
        <f>+A26</f>
        <v>1723</v>
      </c>
      <c r="U26" s="25">
        <f t="shared" si="4"/>
        <v>24704.212802934886</v>
      </c>
      <c r="V26" s="25">
        <f t="shared" si="5"/>
        <v>23876.579999999998</v>
      </c>
      <c r="W26">
        <v>1.3</v>
      </c>
      <c r="X26">
        <v>96</v>
      </c>
      <c r="Y26" s="25">
        <f>+'Livestock in possession'!AD25/1000</f>
        <v>2394.6364841554914</v>
      </c>
      <c r="Z26" s="40">
        <f>+('Meat supplied to the Company'!Q25*0.2+'Meat supplied to the Company'!R25*0.8)</f>
        <v>0.17035714285714287</v>
      </c>
      <c r="AA26" s="25">
        <f t="shared" si="6"/>
        <v>407.94342962220338</v>
      </c>
      <c r="AB26" s="25"/>
      <c r="AC26" s="25">
        <f t="shared" si="7"/>
        <v>407.94342962220338</v>
      </c>
      <c r="AD26" s="25"/>
      <c r="AE26" s="24">
        <f>+'Exports in money value'!J28</f>
        <v>8</v>
      </c>
      <c r="AF26" s="25">
        <f t="shared" si="8"/>
        <v>194.32317121173955</v>
      </c>
      <c r="AG26" s="41">
        <v>72.206829896907365</v>
      </c>
      <c r="AH26" s="25">
        <f t="shared" si="9"/>
        <v>223.63833774568067</v>
      </c>
      <c r="AI26" s="25">
        <v>203.71141734287497</v>
      </c>
      <c r="AJ26" s="25">
        <f t="shared" si="10"/>
        <v>1029.6163559224985</v>
      </c>
      <c r="AK26" s="24">
        <f t="shared" si="11"/>
        <v>0.39620915817396957</v>
      </c>
      <c r="AL26" s="24">
        <f t="shared" si="12"/>
        <v>0.18873357061002893</v>
      </c>
      <c r="AM26" s="24">
        <f t="shared" si="13"/>
        <v>0.21720550228177846</v>
      </c>
      <c r="AN26" s="25">
        <f>1000*AJ26/(Population!V26*0.596+Population!W26)</f>
        <v>228.01478239751205</v>
      </c>
      <c r="AO26" s="25"/>
      <c r="AP26" s="25">
        <f t="shared" si="14"/>
        <v>100</v>
      </c>
      <c r="AQ26" s="25">
        <f t="shared" si="15"/>
        <v>181.61742308863847</v>
      </c>
      <c r="AR26" s="25">
        <f t="shared" si="16"/>
        <v>123.21984624045625</v>
      </c>
      <c r="AS26" s="25">
        <f t="shared" si="17"/>
        <v>131.45118079872842</v>
      </c>
      <c r="AT26" s="25">
        <f t="shared" si="18"/>
        <v>173.45966845793274</v>
      </c>
      <c r="AU26">
        <f>+A26</f>
        <v>1723</v>
      </c>
    </row>
    <row r="27" spans="1:47" x14ac:dyDescent="0.2">
      <c r="A27">
        <v>1724</v>
      </c>
      <c r="B27">
        <v>2349400</v>
      </c>
      <c r="C27" s="25">
        <v>1096.75</v>
      </c>
      <c r="D27" s="25"/>
      <c r="E27" s="25">
        <f>+C27*0.8</f>
        <v>877.40000000000009</v>
      </c>
      <c r="F27" s="24">
        <f>+E27/(Population!AE27+Population!AG27)</f>
        <v>0.26516473741337809</v>
      </c>
      <c r="G27" s="25">
        <f>+C27+(Population!V27-Population!AE27)*0.3</f>
        <v>2688.4988928903194</v>
      </c>
      <c r="H27" s="25">
        <v>1590</v>
      </c>
      <c r="I27" s="25">
        <v>14803</v>
      </c>
      <c r="J27" s="25">
        <v>109.5</v>
      </c>
      <c r="K27" s="25">
        <v>1664</v>
      </c>
      <c r="L27" s="25">
        <v>42</v>
      </c>
      <c r="M27">
        <v>351</v>
      </c>
      <c r="N27" s="25">
        <f t="shared" si="0"/>
        <v>16818</v>
      </c>
      <c r="O27" s="25">
        <f t="shared" si="1"/>
        <v>16818</v>
      </c>
      <c r="P27" s="25">
        <f t="shared" si="2"/>
        <v>21863.4</v>
      </c>
      <c r="Q27" s="25">
        <f>2.5*Population!U27+1.25*(Population!V27-Population!U27)</f>
        <v>17701.475135889301</v>
      </c>
      <c r="R27">
        <v>3500</v>
      </c>
      <c r="S27" s="33">
        <f t="shared" si="3"/>
        <v>3520</v>
      </c>
      <c r="T27">
        <f>+A27</f>
        <v>1724</v>
      </c>
      <c r="U27" s="25">
        <f t="shared" si="4"/>
        <v>24721.475135889301</v>
      </c>
      <c r="V27" s="25">
        <f t="shared" si="5"/>
        <v>21863.4</v>
      </c>
      <c r="W27">
        <v>1.3</v>
      </c>
      <c r="X27">
        <v>88</v>
      </c>
      <c r="Y27" s="25">
        <f>+'Livestock in possession'!AD26/1000</f>
        <v>2340.688847722342</v>
      </c>
      <c r="Z27" s="40">
        <f>+('Meat supplied to the Company'!Q26*0.2+'Meat supplied to the Company'!R26*0.8)</f>
        <v>0.13616071428571427</v>
      </c>
      <c r="AA27" s="25">
        <f t="shared" si="6"/>
        <v>318.70986542647955</v>
      </c>
      <c r="AB27" s="25"/>
      <c r="AC27" s="25">
        <f t="shared" si="7"/>
        <v>318.70986542647955</v>
      </c>
      <c r="AD27" s="25"/>
      <c r="AE27" s="24">
        <f>+'Exports in money value'!J29</f>
        <v>8</v>
      </c>
      <c r="AF27" s="25">
        <f t="shared" si="8"/>
        <v>186.33950054355722</v>
      </c>
      <c r="AG27" s="41">
        <v>43.443943298969245</v>
      </c>
      <c r="AH27" s="25">
        <f t="shared" si="9"/>
        <v>116.79899346206862</v>
      </c>
      <c r="AI27" s="25">
        <v>248.14839527057504</v>
      </c>
      <c r="AJ27" s="25">
        <f t="shared" si="10"/>
        <v>869.99675470268039</v>
      </c>
      <c r="AK27" s="24">
        <f t="shared" si="11"/>
        <v>0.36633454516206559</v>
      </c>
      <c r="AL27" s="24">
        <f t="shared" si="12"/>
        <v>0.21418413291350535</v>
      </c>
      <c r="AM27" s="24">
        <f t="shared" si="13"/>
        <v>0.13425221741428731</v>
      </c>
      <c r="AN27" s="25">
        <f>1000*AJ27/(Population!V27*0.596+Population!W27)</f>
        <v>179.96226018620848</v>
      </c>
      <c r="AO27" s="25"/>
      <c r="AP27" s="25">
        <f t="shared" si="14"/>
        <v>100</v>
      </c>
      <c r="AQ27" s="25">
        <f t="shared" si="15"/>
        <v>145.16067621078281</v>
      </c>
      <c r="AR27" s="25">
        <f t="shared" si="16"/>
        <v>74.136422011892904</v>
      </c>
      <c r="AS27" s="25">
        <f t="shared" si="17"/>
        <v>105.78912946680272</v>
      </c>
      <c r="AT27" s="25">
        <f t="shared" si="18"/>
        <v>170.11413279724712</v>
      </c>
      <c r="AU27">
        <f>+A27</f>
        <v>1724</v>
      </c>
    </row>
    <row r="28" spans="1:47" x14ac:dyDescent="0.2">
      <c r="A28">
        <v>1725</v>
      </c>
      <c r="B28">
        <v>2344300</v>
      </c>
      <c r="C28" s="25">
        <v>1133</v>
      </c>
      <c r="D28" s="25"/>
      <c r="E28" s="25">
        <f>+C28*0.8</f>
        <v>906.40000000000009</v>
      </c>
      <c r="F28" s="24">
        <f>+E28/(Population!AE28+Population!AG28)</f>
        <v>0.2772283525216333</v>
      </c>
      <c r="G28" s="25">
        <f>+C28+(Population!V28-Population!AE28)*0.3</f>
        <v>2777.4491438414516</v>
      </c>
      <c r="H28" s="25">
        <v>1718.5</v>
      </c>
      <c r="I28" s="25">
        <v>15403</v>
      </c>
      <c r="J28" s="25">
        <v>86.25</v>
      </c>
      <c r="K28" s="25">
        <v>982</v>
      </c>
      <c r="L28" s="25">
        <v>52</v>
      </c>
      <c r="M28">
        <v>327</v>
      </c>
      <c r="N28" s="25">
        <f t="shared" si="0"/>
        <v>16712</v>
      </c>
      <c r="O28" s="25">
        <f t="shared" si="1"/>
        <v>16712</v>
      </c>
      <c r="P28" s="25">
        <f t="shared" si="2"/>
        <v>21725.600000000002</v>
      </c>
      <c r="Q28" s="25">
        <f>2.5*Population!U28+1.25*(Population!V28-Population!U28)</f>
        <v>18215.041769375432</v>
      </c>
      <c r="R28">
        <v>7000</v>
      </c>
      <c r="S28" s="33">
        <f t="shared" si="3"/>
        <v>2920</v>
      </c>
      <c r="T28">
        <f>+A28</f>
        <v>1725</v>
      </c>
      <c r="U28" s="25">
        <f t="shared" si="4"/>
        <v>28135.041769375432</v>
      </c>
      <c r="V28" s="25">
        <f t="shared" si="5"/>
        <v>21725.600000000002</v>
      </c>
      <c r="W28">
        <v>1.3</v>
      </c>
      <c r="X28">
        <v>73</v>
      </c>
      <c r="Y28" s="25">
        <f>+'Livestock in possession'!AD27/1000</f>
        <v>2306.9064946554349</v>
      </c>
      <c r="Z28" s="40">
        <f>+('Meat supplied to the Company'!Q27*0.2+'Meat supplied to the Company'!R27*0.8)</f>
        <v>0.13428571428571429</v>
      </c>
      <c r="AA28" s="25">
        <f t="shared" si="6"/>
        <v>309.78458642515841</v>
      </c>
      <c r="AB28" s="25"/>
      <c r="AC28" s="25">
        <f t="shared" si="7"/>
        <v>309.78458642515841</v>
      </c>
      <c r="AD28" s="25"/>
      <c r="AE28" s="24">
        <f>+'Exports in money value'!J30</f>
        <v>8</v>
      </c>
      <c r="AF28" s="25">
        <f t="shared" si="8"/>
        <v>199.44256707750174</v>
      </c>
      <c r="AG28" s="41">
        <v>49.155853509907132</v>
      </c>
      <c r="AH28" s="25">
        <f t="shared" si="9"/>
        <v>136.52788324588738</v>
      </c>
      <c r="AI28" s="25">
        <v>64.001075327972273</v>
      </c>
      <c r="AJ28" s="25">
        <f t="shared" si="10"/>
        <v>709.75611207651991</v>
      </c>
      <c r="AK28" s="24">
        <f t="shared" si="11"/>
        <v>0.43646624686165442</v>
      </c>
      <c r="AL28" s="24">
        <f t="shared" si="12"/>
        <v>0.28100154924202969</v>
      </c>
      <c r="AM28" s="24">
        <f t="shared" si="13"/>
        <v>0.19235886936774713</v>
      </c>
      <c r="AN28" s="25">
        <f>1000*AJ28/(Population!V28*0.596+Population!W28)</f>
        <v>142.05930273073858</v>
      </c>
      <c r="AO28" s="25"/>
      <c r="AP28" s="25">
        <f t="shared" si="14"/>
        <v>100</v>
      </c>
      <c r="AQ28" s="25">
        <f t="shared" si="15"/>
        <v>143.16174230886386</v>
      </c>
      <c r="AR28" s="25">
        <f t="shared" si="16"/>
        <v>83.883709061274956</v>
      </c>
      <c r="AS28" s="25">
        <f t="shared" si="17"/>
        <v>108.11363541104166</v>
      </c>
      <c r="AT28" s="25">
        <f t="shared" si="18"/>
        <v>131.39813696083525</v>
      </c>
      <c r="AU28">
        <f>+A28</f>
        <v>1725</v>
      </c>
    </row>
    <row r="29" spans="1:47" x14ac:dyDescent="0.2">
      <c r="A29">
        <v>1726</v>
      </c>
      <c r="B29">
        <v>2282900</v>
      </c>
      <c r="C29" s="25">
        <v>1068</v>
      </c>
      <c r="D29" s="25"/>
      <c r="E29" s="25">
        <f>+C29*0.8</f>
        <v>854.40000000000009</v>
      </c>
      <c r="F29" s="24">
        <f>+E29/(Population!AE29+Population!AG29)</f>
        <v>0.237246961253956</v>
      </c>
      <c r="G29" s="25">
        <f>+C29+(Population!V29-Population!AE29)*0.3</f>
        <v>2792.1966539711743</v>
      </c>
      <c r="H29" s="25">
        <v>1954</v>
      </c>
      <c r="I29" s="25">
        <v>7531.5</v>
      </c>
      <c r="J29" s="25">
        <v>107.5</v>
      </c>
      <c r="K29" s="25">
        <v>954</v>
      </c>
      <c r="L29" s="25">
        <v>53.5</v>
      </c>
      <c r="M29">
        <v>357</v>
      </c>
      <c r="N29" s="25">
        <f t="shared" si="0"/>
        <v>8842.5</v>
      </c>
      <c r="O29" s="25">
        <f t="shared" si="1"/>
        <v>8842.5</v>
      </c>
      <c r="P29" s="25">
        <f t="shared" si="2"/>
        <v>11495.25</v>
      </c>
      <c r="Q29" s="25">
        <f>2.5*Population!U29+1.25*(Population!V29-Population!U29)</f>
        <v>19050.991525162717</v>
      </c>
      <c r="R29">
        <v>0</v>
      </c>
      <c r="S29" s="33">
        <f t="shared" si="3"/>
        <v>3520</v>
      </c>
      <c r="T29">
        <f>+A29</f>
        <v>1726</v>
      </c>
      <c r="U29" s="25">
        <f t="shared" si="4"/>
        <v>22570.991525162717</v>
      </c>
      <c r="V29" s="25">
        <f t="shared" si="5"/>
        <v>11495.25</v>
      </c>
      <c r="W29">
        <v>1.3</v>
      </c>
      <c r="X29">
        <v>88</v>
      </c>
      <c r="Y29" s="25">
        <f>+'Livestock in possession'!AD28/1000</f>
        <v>2434.6770468421691</v>
      </c>
      <c r="Z29" s="40">
        <f>+('Meat supplied to the Company'!Q28*0.2+'Meat supplied to the Company'!R28*0.8)</f>
        <v>0.12732142857142859</v>
      </c>
      <c r="AA29" s="25">
        <f t="shared" si="6"/>
        <v>309.98655971401195</v>
      </c>
      <c r="AB29" s="25"/>
      <c r="AC29" s="25">
        <f t="shared" si="7"/>
        <v>309.98655971401195</v>
      </c>
      <c r="AD29" s="25"/>
      <c r="AE29" s="24">
        <f>+'Exports in money value'!J31</f>
        <v>8</v>
      </c>
      <c r="AF29" s="25">
        <f t="shared" si="8"/>
        <v>136.26496610065087</v>
      </c>
      <c r="AG29" s="41">
        <v>55.618752599393503</v>
      </c>
      <c r="AH29" s="25">
        <f t="shared" si="9"/>
        <v>155.29849490607711</v>
      </c>
      <c r="AI29" s="25">
        <v>62.450963668236795</v>
      </c>
      <c r="AJ29" s="25">
        <f t="shared" si="10"/>
        <v>664.00098438897669</v>
      </c>
      <c r="AK29" s="24">
        <f t="shared" si="11"/>
        <v>0.4668465363786562</v>
      </c>
      <c r="AL29" s="24">
        <f t="shared" si="12"/>
        <v>0.20521801820225291</v>
      </c>
      <c r="AM29" s="24">
        <f t="shared" si="13"/>
        <v>0.23388292872635577</v>
      </c>
      <c r="AN29" s="25">
        <f>1000*AJ29/(Population!V29*0.596+Population!W29)</f>
        <v>125.64650280626627</v>
      </c>
      <c r="AO29" s="25"/>
      <c r="AP29" s="25">
        <f t="shared" si="14"/>
        <v>100</v>
      </c>
      <c r="AQ29" s="25">
        <f t="shared" si="15"/>
        <v>135.73713067316481</v>
      </c>
      <c r="AR29" s="25">
        <f t="shared" si="16"/>
        <v>94.912547097941129</v>
      </c>
      <c r="AS29" s="25">
        <f t="shared" si="17"/>
        <v>109.19490333133177</v>
      </c>
      <c r="AT29" s="25">
        <f t="shared" si="18"/>
        <v>115.0662704696163</v>
      </c>
      <c r="AU29">
        <f>+A29</f>
        <v>1726</v>
      </c>
    </row>
    <row r="30" spans="1:47" x14ac:dyDescent="0.2">
      <c r="A30">
        <v>1727</v>
      </c>
      <c r="B30">
        <v>2308000</v>
      </c>
      <c r="C30" s="25">
        <v>1025.5</v>
      </c>
      <c r="D30" s="25"/>
      <c r="E30" s="25">
        <f>+C30*0.8</f>
        <v>820.40000000000009</v>
      </c>
      <c r="F30" s="24">
        <f>+E30/(Population!AE30+Population!AG30)</f>
        <v>0.22810783912426041</v>
      </c>
      <c r="G30" s="25">
        <f>+C30+(Population!V30-Population!AE30)*0.3</f>
        <v>2822.571045427077</v>
      </c>
      <c r="H30" s="25">
        <v>2102</v>
      </c>
      <c r="I30" s="25">
        <v>8775.5</v>
      </c>
      <c r="J30" s="25">
        <v>115.5</v>
      </c>
      <c r="K30" s="25">
        <v>1469</v>
      </c>
      <c r="L30" s="25">
        <v>73.5</v>
      </c>
      <c r="M30">
        <v>489</v>
      </c>
      <c r="N30" s="25">
        <f t="shared" si="0"/>
        <v>10733.5</v>
      </c>
      <c r="O30" s="25">
        <f t="shared" si="1"/>
        <v>10733.5</v>
      </c>
      <c r="P30" s="25">
        <f t="shared" si="2"/>
        <v>13953.550000000001</v>
      </c>
      <c r="Q30" s="25">
        <f>2.5*Population!U30+1.25*(Population!V30-Population!U30)</f>
        <v>19773.114258744099</v>
      </c>
      <c r="R30">
        <v>0</v>
      </c>
      <c r="S30" s="33">
        <f t="shared" si="3"/>
        <v>3320</v>
      </c>
      <c r="T30">
        <f>+A30</f>
        <v>1727</v>
      </c>
      <c r="U30" s="25">
        <f t="shared" si="4"/>
        <v>23093.114258744099</v>
      </c>
      <c r="V30" s="25">
        <f t="shared" si="5"/>
        <v>13953.550000000001</v>
      </c>
      <c r="W30">
        <v>1.3</v>
      </c>
      <c r="X30">
        <v>83</v>
      </c>
      <c r="Y30" s="25">
        <f>+'Livestock in possession'!AD29/1000</f>
        <v>2457.9086492791175</v>
      </c>
      <c r="Z30" s="40">
        <f>+('Meat supplied to the Company'!Q29*0.2+'Meat supplied to the Company'!R29*0.8)</f>
        <v>0.12857142857142861</v>
      </c>
      <c r="AA30" s="25">
        <f t="shared" si="6"/>
        <v>316.01682633588666</v>
      </c>
      <c r="AB30" s="25"/>
      <c r="AC30" s="25">
        <f t="shared" si="7"/>
        <v>316.01682633588666</v>
      </c>
      <c r="AD30" s="25"/>
      <c r="AE30" s="24">
        <f>+'Exports in money value'!J32</f>
        <v>8</v>
      </c>
      <c r="AF30" s="25">
        <f t="shared" si="8"/>
        <v>148.18665703497641</v>
      </c>
      <c r="AG30" s="41">
        <v>62.931378865979241</v>
      </c>
      <c r="AH30" s="25">
        <f t="shared" si="9"/>
        <v>177.62828783591451</v>
      </c>
      <c r="AI30" s="25">
        <v>151.22713221001248</v>
      </c>
      <c r="AJ30" s="25">
        <f t="shared" si="10"/>
        <v>793.05890341679014</v>
      </c>
      <c r="AK30" s="24">
        <f t="shared" si="11"/>
        <v>0.39847837906411449</v>
      </c>
      <c r="AL30" s="24">
        <f t="shared" si="12"/>
        <v>0.18685454056001849</v>
      </c>
      <c r="AM30" s="24">
        <f t="shared" si="13"/>
        <v>0.22397868187422945</v>
      </c>
      <c r="AN30" s="25">
        <f>1000*AJ30/(Population!V30*0.596+Population!W30)</f>
        <v>142.98206041837551</v>
      </c>
      <c r="AO30" s="25"/>
      <c r="AP30" s="25">
        <f t="shared" si="14"/>
        <v>100</v>
      </c>
      <c r="AQ30" s="25">
        <f t="shared" si="15"/>
        <v>137.06975327444417</v>
      </c>
      <c r="AR30" s="25">
        <f t="shared" si="16"/>
        <v>107.39143151190997</v>
      </c>
      <c r="AS30" s="25">
        <f t="shared" si="17"/>
        <v>113.33835543590624</v>
      </c>
      <c r="AT30" s="25">
        <f t="shared" si="18"/>
        <v>126.15505127849947</v>
      </c>
      <c r="AU30">
        <f>+A30</f>
        <v>1727</v>
      </c>
    </row>
    <row r="31" spans="1:47" x14ac:dyDescent="0.2">
      <c r="A31">
        <v>1728</v>
      </c>
      <c r="B31">
        <v>2169500</v>
      </c>
      <c r="C31" s="25">
        <v>1012.5</v>
      </c>
      <c r="D31" s="25"/>
      <c r="E31" s="25">
        <f>+C31*0.8</f>
        <v>810</v>
      </c>
      <c r="F31" s="24">
        <f>+E31/(Population!AE31+Population!AG31)</f>
        <v>0.22631835017355983</v>
      </c>
      <c r="G31" s="25">
        <f>+C31+(Population!V31-Population!AE31)*0.3</f>
        <v>2813.9344771751366</v>
      </c>
      <c r="H31" s="25">
        <v>2322.25</v>
      </c>
      <c r="I31" s="25">
        <v>11265</v>
      </c>
      <c r="J31" s="25">
        <v>113.25</v>
      </c>
      <c r="K31" s="25">
        <v>1300</v>
      </c>
      <c r="L31" s="25">
        <v>72</v>
      </c>
      <c r="M31">
        <v>512</v>
      </c>
      <c r="N31" s="25">
        <f t="shared" si="0"/>
        <v>13077</v>
      </c>
      <c r="O31" s="25">
        <f t="shared" si="1"/>
        <v>13077</v>
      </c>
      <c r="P31" s="25">
        <f t="shared" si="2"/>
        <v>17000.100000000002</v>
      </c>
      <c r="Q31" s="25">
        <f>2.5*Population!U31+1.25*(Population!V31-Population!U31)</f>
        <v>19742.156928475473</v>
      </c>
      <c r="R31">
        <v>3675</v>
      </c>
      <c r="S31" s="33">
        <f t="shared" si="3"/>
        <v>3240</v>
      </c>
      <c r="T31">
        <f>+A31</f>
        <v>1728</v>
      </c>
      <c r="U31" s="25">
        <f t="shared" si="4"/>
        <v>26657.156928475473</v>
      </c>
      <c r="V31" s="25">
        <f t="shared" si="5"/>
        <v>17000.100000000002</v>
      </c>
      <c r="W31">
        <v>1.3</v>
      </c>
      <c r="X31">
        <v>81</v>
      </c>
      <c r="Y31" s="25">
        <f>+'Livestock in possession'!AD30/1000</f>
        <v>2483.721140964652</v>
      </c>
      <c r="Z31" s="40">
        <f>+('Meat supplied to the Company'!Q30*0.2+'Meat supplied to the Company'!R30*0.8)</f>
        <v>8.9095238095238102E-2</v>
      </c>
      <c r="AA31" s="25">
        <f t="shared" si="6"/>
        <v>221.28772641642212</v>
      </c>
      <c r="AB31" s="25"/>
      <c r="AC31" s="25">
        <f t="shared" si="7"/>
        <v>221.28772641642212</v>
      </c>
      <c r="AD31" s="25"/>
      <c r="AE31" s="24">
        <f>+'Exports in money value'!J33</f>
        <v>8</v>
      </c>
      <c r="AF31" s="25">
        <f t="shared" si="8"/>
        <v>174.62902771390188</v>
      </c>
      <c r="AG31" s="41">
        <v>62.319587628865875</v>
      </c>
      <c r="AH31" s="25">
        <f t="shared" si="9"/>
        <v>175.36323623220281</v>
      </c>
      <c r="AI31" s="25">
        <v>213.69131072534023</v>
      </c>
      <c r="AJ31" s="25">
        <f t="shared" si="10"/>
        <v>784.97130108786712</v>
      </c>
      <c r="AK31" s="24">
        <f t="shared" si="11"/>
        <v>0.28190549910518564</v>
      </c>
      <c r="AL31" s="24">
        <f t="shared" si="12"/>
        <v>0.22246549328859411</v>
      </c>
      <c r="AM31" s="24">
        <f t="shared" si="13"/>
        <v>0.22340082495904295</v>
      </c>
      <c r="AN31" s="25">
        <f>1000*AJ31/(Population!V31*0.596+Population!W31)</f>
        <v>140.02656624343427</v>
      </c>
      <c r="AO31" s="25"/>
      <c r="AP31" s="25">
        <f t="shared" si="14"/>
        <v>100</v>
      </c>
      <c r="AQ31" s="25">
        <f t="shared" si="15"/>
        <v>94.984262361661095</v>
      </c>
      <c r="AR31" s="25">
        <f t="shared" si="16"/>
        <v>106.34741916188716</v>
      </c>
      <c r="AS31" s="25">
        <f t="shared" si="17"/>
        <v>100.39950445706448</v>
      </c>
      <c r="AT31" s="25">
        <f t="shared" si="18"/>
        <v>139.46937985467466</v>
      </c>
      <c r="AU31">
        <f>+A31</f>
        <v>1728</v>
      </c>
    </row>
    <row r="32" spans="1:47" x14ac:dyDescent="0.2">
      <c r="A32">
        <v>1729</v>
      </c>
      <c r="B32">
        <v>2247400</v>
      </c>
      <c r="C32" s="25">
        <v>1040.25</v>
      </c>
      <c r="D32" s="25"/>
      <c r="E32" s="25">
        <f>+C32*0.8</f>
        <v>832.2</v>
      </c>
      <c r="F32" s="24">
        <f>+E32/(Population!AE32+Population!AG32)</f>
        <v>0.2311602477699565</v>
      </c>
      <c r="G32" s="25">
        <f>+C32+(Population!V32-Population!AE32)*0.3</f>
        <v>2845.0336472853123</v>
      </c>
      <c r="H32" s="25">
        <v>2093.75</v>
      </c>
      <c r="I32" s="25">
        <v>16386.5</v>
      </c>
      <c r="J32" s="25">
        <v>118.75</v>
      </c>
      <c r="K32" s="25">
        <v>1684</v>
      </c>
      <c r="L32" s="25">
        <v>125</v>
      </c>
      <c r="M32">
        <v>1338</v>
      </c>
      <c r="N32" s="25">
        <f t="shared" si="0"/>
        <v>19408.5</v>
      </c>
      <c r="O32" s="25">
        <f t="shared" si="1"/>
        <v>19408.5</v>
      </c>
      <c r="P32" s="25">
        <f t="shared" si="2"/>
        <v>25231.05</v>
      </c>
      <c r="Q32" s="25">
        <f>2.5*Population!U32+1.25*(Population!V32-Population!U32)</f>
        <v>19865.201189574676</v>
      </c>
      <c r="R32">
        <v>5550</v>
      </c>
      <c r="S32" s="33">
        <f t="shared" si="3"/>
        <v>3240</v>
      </c>
      <c r="T32">
        <f>+A32</f>
        <v>1729</v>
      </c>
      <c r="U32" s="25">
        <f t="shared" si="4"/>
        <v>28655.201189574676</v>
      </c>
      <c r="V32" s="25">
        <f t="shared" si="5"/>
        <v>25231.05</v>
      </c>
      <c r="W32">
        <v>1.3</v>
      </c>
      <c r="X32">
        <v>81</v>
      </c>
      <c r="Y32" s="25">
        <f>+'Livestock in possession'!AD31/1000</f>
        <v>2413.5943630357751</v>
      </c>
      <c r="Z32" s="40">
        <f>+('Meat supplied to the Company'!Q31*0.2+'Meat supplied to the Company'!R31*0.8)</f>
        <v>9.3750000000000014E-2</v>
      </c>
      <c r="AA32" s="25">
        <f t="shared" si="6"/>
        <v>226.27447153460395</v>
      </c>
      <c r="AB32" s="25"/>
      <c r="AC32" s="25">
        <f t="shared" si="7"/>
        <v>226.27447153460395</v>
      </c>
      <c r="AD32" s="25"/>
      <c r="AE32" s="24">
        <f>+'Exports in money value'!J34</f>
        <v>7.7368421052631584</v>
      </c>
      <c r="AF32" s="25">
        <f t="shared" si="8"/>
        <v>208.45470854914416</v>
      </c>
      <c r="AG32" s="41">
        <v>59.523195876288746</v>
      </c>
      <c r="AH32" s="25">
        <f t="shared" si="9"/>
        <v>169.34549506199585</v>
      </c>
      <c r="AI32" s="25">
        <v>231.99691450139684</v>
      </c>
      <c r="AJ32" s="25">
        <f t="shared" si="10"/>
        <v>836.07158964714074</v>
      </c>
      <c r="AK32" s="24">
        <f t="shared" si="11"/>
        <v>0.2706400675928981</v>
      </c>
      <c r="AL32" s="24">
        <f t="shared" si="12"/>
        <v>0.2493263867955629</v>
      </c>
      <c r="AM32" s="24">
        <f t="shared" si="13"/>
        <v>0.20254903666020652</v>
      </c>
      <c r="AN32" s="25">
        <f>1000*AJ32/(Population!V32*0.596+Population!W32)</f>
        <v>146.50553004660787</v>
      </c>
      <c r="AO32" s="25"/>
      <c r="AP32" s="25">
        <f t="shared" si="14"/>
        <v>96.71052631578948</v>
      </c>
      <c r="AQ32" s="25">
        <f t="shared" si="15"/>
        <v>99.946695095948854</v>
      </c>
      <c r="AR32" s="25">
        <f t="shared" si="16"/>
        <v>101.57541958411049</v>
      </c>
      <c r="AS32" s="25">
        <f t="shared" si="17"/>
        <v>99.1408449303336</v>
      </c>
      <c r="AT32" s="25">
        <f t="shared" si="18"/>
        <v>147.77514771995084</v>
      </c>
      <c r="AU32">
        <f>+A32</f>
        <v>1729</v>
      </c>
    </row>
    <row r="33" spans="1:47" x14ac:dyDescent="0.2">
      <c r="A33">
        <v>1730</v>
      </c>
      <c r="B33">
        <v>2355300</v>
      </c>
      <c r="C33" s="25">
        <v>1336.5</v>
      </c>
      <c r="D33" s="25"/>
      <c r="E33" s="25">
        <f>+C33*0.8</f>
        <v>1069.2</v>
      </c>
      <c r="F33" s="24">
        <f>+E33/(Population!AE33+Population!AG33)</f>
        <v>0.29234429922229688</v>
      </c>
      <c r="G33" s="25">
        <f>+C33+(Population!V33-Population!AE33)*0.3</f>
        <v>3215.2059291157702</v>
      </c>
      <c r="H33" s="25">
        <v>2536.75</v>
      </c>
      <c r="I33" s="25">
        <v>12927.25</v>
      </c>
      <c r="J33" s="25">
        <v>220.25</v>
      </c>
      <c r="K33" s="25">
        <v>3308</v>
      </c>
      <c r="L33" s="25">
        <v>1779.5</v>
      </c>
      <c r="M33">
        <v>1410</v>
      </c>
      <c r="N33" s="25">
        <f t="shared" si="0"/>
        <v>17645.25</v>
      </c>
      <c r="O33" s="25">
        <f t="shared" si="1"/>
        <v>17645.25</v>
      </c>
      <c r="P33" s="25">
        <f t="shared" si="2"/>
        <v>22938.825000000001</v>
      </c>
      <c r="Q33" s="25">
        <f>2.5*Population!U33+1.25*(Population!V33-Population!U33)</f>
        <v>20747.552790872218</v>
      </c>
      <c r="R33">
        <v>2775</v>
      </c>
      <c r="S33" s="33">
        <f t="shared" si="3"/>
        <v>2680</v>
      </c>
      <c r="T33">
        <f>+A33</f>
        <v>1730</v>
      </c>
      <c r="U33" s="25">
        <f t="shared" si="4"/>
        <v>26202.552790872218</v>
      </c>
      <c r="V33" s="25">
        <f t="shared" si="5"/>
        <v>22938.825000000001</v>
      </c>
      <c r="W33">
        <v>1.3</v>
      </c>
      <c r="X33">
        <v>67</v>
      </c>
      <c r="Y33" s="25">
        <f>+'Livestock in possession'!AD32/1000</f>
        <v>2602.7881163473367</v>
      </c>
      <c r="Z33" s="40">
        <f>+('Meat supplied to the Company'!Q32*0.2+'Meat supplied to the Company'!R32*0.8)</f>
        <v>9.3750000000000014E-2</v>
      </c>
      <c r="AA33" s="25">
        <f t="shared" si="6"/>
        <v>244.01138590756284</v>
      </c>
      <c r="AB33" s="25"/>
      <c r="AC33" s="25">
        <f t="shared" si="7"/>
        <v>244.01138590756284</v>
      </c>
      <c r="AD33" s="25"/>
      <c r="AE33" s="24">
        <f>+'Exports in money value'!J35</f>
        <v>8</v>
      </c>
      <c r="AF33" s="25">
        <f t="shared" si="8"/>
        <v>196.56551116348888</v>
      </c>
      <c r="AG33" s="41">
        <v>71.9072164948455</v>
      </c>
      <c r="AH33" s="25">
        <f t="shared" si="9"/>
        <v>231.19650882043857</v>
      </c>
      <c r="AI33" s="25">
        <v>186.30264603970727</v>
      </c>
      <c r="AJ33" s="25">
        <f t="shared" si="10"/>
        <v>858.07605193119753</v>
      </c>
      <c r="AK33" s="24">
        <f t="shared" si="11"/>
        <v>0.28437034847713966</v>
      </c>
      <c r="AL33" s="24">
        <f t="shared" si="12"/>
        <v>0.22907702728807766</v>
      </c>
      <c r="AM33" s="24">
        <f t="shared" si="13"/>
        <v>0.2694359180635616</v>
      </c>
      <c r="AN33" s="25">
        <f>1000*AJ33/(Population!V33*0.596+Population!W33)</f>
        <v>143.14351011302932</v>
      </c>
      <c r="AO33" s="25"/>
      <c r="AP33" s="25">
        <f t="shared" si="14"/>
        <v>100</v>
      </c>
      <c r="AQ33" s="25">
        <f t="shared" si="15"/>
        <v>99.946695095948854</v>
      </c>
      <c r="AR33" s="25">
        <f t="shared" si="16"/>
        <v>122.7085605714087</v>
      </c>
      <c r="AS33" s="25">
        <f t="shared" si="17"/>
        <v>106.79657670020725</v>
      </c>
      <c r="AT33" s="25">
        <f t="shared" si="18"/>
        <v>134.03380008598302</v>
      </c>
      <c r="AU33">
        <f>+A33</f>
        <v>1730</v>
      </c>
    </row>
    <row r="34" spans="1:47" x14ac:dyDescent="0.2">
      <c r="A34">
        <v>1731</v>
      </c>
      <c r="B34">
        <v>2363200</v>
      </c>
      <c r="C34" s="25">
        <v>1624</v>
      </c>
      <c r="D34" s="25"/>
      <c r="E34" s="25">
        <f>+C34*0.8</f>
        <v>1299.2</v>
      </c>
      <c r="F34" s="24">
        <f>+E34/(Population!AE34+Population!AG34)</f>
        <v>0.34272973997420569</v>
      </c>
      <c r="G34" s="25">
        <f>+C34+(Population!V34-Population!AE34)*0.3</f>
        <v>3582.4592857529606</v>
      </c>
      <c r="H34" s="25">
        <v>2325.25</v>
      </c>
      <c r="I34" s="25">
        <v>16662</v>
      </c>
      <c r="J34" s="25">
        <v>189.75</v>
      </c>
      <c r="K34" s="25">
        <v>2665</v>
      </c>
      <c r="L34" s="25">
        <v>163</v>
      </c>
      <c r="M34">
        <v>1759</v>
      </c>
      <c r="N34" s="25">
        <f t="shared" si="0"/>
        <v>21086</v>
      </c>
      <c r="O34" s="25">
        <f t="shared" si="1"/>
        <v>21086</v>
      </c>
      <c r="P34" s="25">
        <f t="shared" si="2"/>
        <v>27411.8</v>
      </c>
      <c r="Q34" s="25">
        <f>2.5*Population!U34+1.25*(Population!V34-Population!U34)</f>
        <v>21613.086591091858</v>
      </c>
      <c r="R34">
        <v>6660</v>
      </c>
      <c r="S34" s="33">
        <f t="shared" si="3"/>
        <v>3320</v>
      </c>
      <c r="T34">
        <f>+A34</f>
        <v>1731</v>
      </c>
      <c r="U34" s="25">
        <f t="shared" si="4"/>
        <v>31593.086591091858</v>
      </c>
      <c r="V34" s="25">
        <f t="shared" si="5"/>
        <v>27411.8</v>
      </c>
      <c r="W34">
        <v>1.3</v>
      </c>
      <c r="X34">
        <v>83</v>
      </c>
      <c r="Y34" s="25">
        <f>+'Livestock in possession'!AD33/1000</f>
        <v>2807.5480355330478</v>
      </c>
      <c r="Z34" s="40">
        <f>+('Meat supplied to the Company'!Q33*0.2+'Meat supplied to the Company'!R33*0.8)</f>
        <v>9.3750000000000014E-2</v>
      </c>
      <c r="AA34" s="25">
        <f t="shared" si="6"/>
        <v>263.20762833122325</v>
      </c>
      <c r="AB34" s="25"/>
      <c r="AC34" s="25">
        <f t="shared" si="7"/>
        <v>263.20762833122325</v>
      </c>
      <c r="AD34" s="25"/>
      <c r="AE34" s="24">
        <f>+'Exports in money value'!J36</f>
        <v>8</v>
      </c>
      <c r="AF34" s="25">
        <f t="shared" si="8"/>
        <v>236.01954636436741</v>
      </c>
      <c r="AG34" s="41">
        <v>48.387564432989592</v>
      </c>
      <c r="AH34" s="25">
        <f t="shared" si="9"/>
        <v>173.34647951793323</v>
      </c>
      <c r="AI34" s="25">
        <v>246.54818930756932</v>
      </c>
      <c r="AJ34" s="25">
        <f t="shared" si="10"/>
        <v>919.1218435210933</v>
      </c>
      <c r="AK34" s="24">
        <f t="shared" si="11"/>
        <v>0.28636859213669946</v>
      </c>
      <c r="AL34" s="24">
        <f t="shared" si="12"/>
        <v>0.2567880940139477</v>
      </c>
      <c r="AM34" s="24">
        <f t="shared" si="13"/>
        <v>0.18860010861438636</v>
      </c>
      <c r="AN34" s="25">
        <f>1000*AJ34/(Population!V34*0.596+Population!W34)</f>
        <v>146.00084962959215</v>
      </c>
      <c r="AO34" s="25"/>
      <c r="AP34" s="25">
        <f t="shared" si="14"/>
        <v>100</v>
      </c>
      <c r="AQ34" s="25">
        <f t="shared" si="15"/>
        <v>99.946695095948854</v>
      </c>
      <c r="AR34" s="25">
        <f t="shared" si="16"/>
        <v>82.572635551176774</v>
      </c>
      <c r="AS34" s="25">
        <f t="shared" si="17"/>
        <v>94.755799194137694</v>
      </c>
      <c r="AT34" s="25">
        <f t="shared" si="18"/>
        <v>154.08117589770154</v>
      </c>
      <c r="AU34">
        <f>+A34</f>
        <v>1731</v>
      </c>
    </row>
    <row r="35" spans="1:47" x14ac:dyDescent="0.2">
      <c r="A35">
        <v>1732</v>
      </c>
      <c r="B35">
        <v>2287100</v>
      </c>
      <c r="C35" s="25">
        <v>1458</v>
      </c>
      <c r="D35" s="25"/>
      <c r="E35" s="25">
        <f>+C35*0.8</f>
        <v>1166.4000000000001</v>
      </c>
      <c r="F35" s="24">
        <f>+E35/(Population!AE35+Population!AG35)</f>
        <v>0.28827030648785773</v>
      </c>
      <c r="G35" s="25">
        <f>+C35+(Population!V35-Population!AE35)*0.3</f>
        <v>3459.6079351499211</v>
      </c>
      <c r="H35" s="25">
        <v>2356.5</v>
      </c>
      <c r="I35" s="25">
        <v>19669</v>
      </c>
      <c r="J35" s="25">
        <v>178</v>
      </c>
      <c r="K35" s="25">
        <v>2480</v>
      </c>
      <c r="L35" s="25">
        <v>207</v>
      </c>
      <c r="M35">
        <v>2617</v>
      </c>
      <c r="N35" s="25">
        <f t="shared" si="0"/>
        <v>24766</v>
      </c>
      <c r="O35" s="25">
        <f t="shared" si="1"/>
        <v>24766</v>
      </c>
      <c r="P35" s="25">
        <f t="shared" si="2"/>
        <v>32195.800000000003</v>
      </c>
      <c r="Q35" s="25">
        <f>2.5*Population!U35+1.25*(Population!V35-Population!U35)</f>
        <v>22016.74754907261</v>
      </c>
      <c r="R35">
        <v>6475</v>
      </c>
      <c r="S35" s="33">
        <f t="shared" si="3"/>
        <v>3080</v>
      </c>
      <c r="T35">
        <f>+A35</f>
        <v>1732</v>
      </c>
      <c r="U35" s="25">
        <f t="shared" si="4"/>
        <v>31571.74754907261</v>
      </c>
      <c r="V35" s="25">
        <f t="shared" si="5"/>
        <v>32195.800000000003</v>
      </c>
      <c r="W35">
        <v>1.3</v>
      </c>
      <c r="X35">
        <v>77</v>
      </c>
      <c r="Y35" s="25">
        <f>+'Livestock in possession'!AD34/1000</f>
        <v>2907.2918178117611</v>
      </c>
      <c r="Z35" s="40">
        <f>+('Meat supplied to the Company'!Q34*0.2+'Meat supplied to the Company'!R34*0.8)</f>
        <v>9.3750000000000014E-2</v>
      </c>
      <c r="AA35" s="25">
        <f t="shared" si="6"/>
        <v>272.55860791985265</v>
      </c>
      <c r="AB35" s="25"/>
      <c r="AC35" s="25">
        <f t="shared" si="7"/>
        <v>272.55860791985265</v>
      </c>
      <c r="AD35" s="25"/>
      <c r="AE35" s="24">
        <f>+'Exports in money value'!J37</f>
        <v>8</v>
      </c>
      <c r="AF35" s="25">
        <f t="shared" si="8"/>
        <v>255.07019019629044</v>
      </c>
      <c r="AG35" s="41">
        <v>58.616741490375418</v>
      </c>
      <c r="AH35" s="25">
        <f t="shared" si="9"/>
        <v>202.79094399273441</v>
      </c>
      <c r="AI35" s="25">
        <v>233.74236264264866</v>
      </c>
      <c r="AJ35" s="25">
        <f t="shared" si="10"/>
        <v>964.16210475152616</v>
      </c>
      <c r="AK35" s="24">
        <f t="shared" si="11"/>
        <v>0.2826896084970002</v>
      </c>
      <c r="AL35" s="24">
        <f t="shared" si="12"/>
        <v>0.26455114647139599</v>
      </c>
      <c r="AM35" s="24">
        <f t="shared" si="13"/>
        <v>0.2103286812387172</v>
      </c>
      <c r="AN35" s="25">
        <f>1000*AJ35/(Population!V35*0.596+Population!W35)</f>
        <v>148.63153881634298</v>
      </c>
      <c r="AO35" s="25"/>
      <c r="AP35" s="25">
        <f t="shared" si="14"/>
        <v>100</v>
      </c>
      <c r="AQ35" s="25">
        <f t="shared" si="15"/>
        <v>99.946695095948854</v>
      </c>
      <c r="AR35" s="25">
        <f t="shared" si="16"/>
        <v>100.02856909620378</v>
      </c>
      <c r="AS35" s="25">
        <f t="shared" si="17"/>
        <v>99.992579257645787</v>
      </c>
      <c r="AT35" s="25">
        <f t="shared" si="18"/>
        <v>148.64256919843189</v>
      </c>
      <c r="AU35">
        <f>+A35</f>
        <v>1732</v>
      </c>
    </row>
    <row r="36" spans="1:47" x14ac:dyDescent="0.2">
      <c r="A36">
        <v>1733</v>
      </c>
      <c r="B36">
        <v>2454500</v>
      </c>
      <c r="C36" s="25">
        <v>1405</v>
      </c>
      <c r="D36" s="25"/>
      <c r="E36" s="25">
        <f>+C36*0.8</f>
        <v>1124</v>
      </c>
      <c r="F36" s="24">
        <f>+E36/(Population!AE36+Population!AG36)</f>
        <v>0.28048136851373756</v>
      </c>
      <c r="G36" s="25">
        <f>+C36+(Population!V36-Population!AE36)*0.3</f>
        <v>3435.4249312456623</v>
      </c>
      <c r="H36" s="25">
        <v>2433</v>
      </c>
      <c r="I36" s="25">
        <v>21880</v>
      </c>
      <c r="J36" s="25">
        <v>147</v>
      </c>
      <c r="K36" s="25">
        <v>1967</v>
      </c>
      <c r="L36" s="25">
        <v>107</v>
      </c>
      <c r="M36">
        <v>1092</v>
      </c>
      <c r="N36" s="25">
        <f t="shared" si="0"/>
        <v>24939</v>
      </c>
      <c r="O36" s="25">
        <f t="shared" si="1"/>
        <v>24939</v>
      </c>
      <c r="P36" s="25">
        <f t="shared" si="2"/>
        <v>32420.7</v>
      </c>
      <c r="Q36" s="25">
        <f>2.5*Population!U36+1.25*(Population!V36-Population!U36)</f>
        <v>22246.963568132884</v>
      </c>
      <c r="R36">
        <v>10175</v>
      </c>
      <c r="S36" s="33">
        <f t="shared" si="3"/>
        <v>3040</v>
      </c>
      <c r="T36">
        <f>+A36</f>
        <v>1733</v>
      </c>
      <c r="U36" s="25">
        <f t="shared" si="4"/>
        <v>35461.96356813288</v>
      </c>
      <c r="V36" s="25">
        <f t="shared" si="5"/>
        <v>32420.7</v>
      </c>
      <c r="W36">
        <v>1.3</v>
      </c>
      <c r="X36">
        <v>76</v>
      </c>
      <c r="Y36" s="25">
        <f>+'Livestock in possession'!AD35/1000</f>
        <v>3001.9709056429879</v>
      </c>
      <c r="Z36" s="40">
        <f>+('Meat supplied to the Company'!Q35*0.2+'Meat supplied to the Company'!R35*0.8)</f>
        <v>9.3750000000000014E-2</v>
      </c>
      <c r="AA36" s="25">
        <f t="shared" si="6"/>
        <v>281.43477240403013</v>
      </c>
      <c r="AB36" s="25"/>
      <c r="AC36" s="25">
        <f t="shared" si="7"/>
        <v>281.43477240403013</v>
      </c>
      <c r="AD36" s="25"/>
      <c r="AE36" s="24">
        <f>+'Exports in money value'!J38</f>
        <v>8</v>
      </c>
      <c r="AF36" s="25">
        <f t="shared" si="8"/>
        <v>271.53065427253154</v>
      </c>
      <c r="AG36" s="41">
        <v>71.008376288659846</v>
      </c>
      <c r="AH36" s="25">
        <f t="shared" si="9"/>
        <v>243.94394622933535</v>
      </c>
      <c r="AI36" s="25">
        <v>163.74041257672764</v>
      </c>
      <c r="AJ36" s="25">
        <f t="shared" si="10"/>
        <v>960.64978548262468</v>
      </c>
      <c r="AK36" s="24">
        <f t="shared" si="11"/>
        <v>0.29296292640365185</v>
      </c>
      <c r="AL36" s="24">
        <f t="shared" si="12"/>
        <v>0.28265311498103979</v>
      </c>
      <c r="AM36" s="24">
        <f t="shared" si="13"/>
        <v>0.25393639796294692</v>
      </c>
      <c r="AN36" s="25">
        <f>1000*AJ36/(Population!V36*0.596+Population!W36)</f>
        <v>144.60750305771612</v>
      </c>
      <c r="AO36" s="25"/>
      <c r="AP36" s="25">
        <f t="shared" si="14"/>
        <v>100</v>
      </c>
      <c r="AQ36" s="25">
        <f t="shared" si="15"/>
        <v>99.946695095948854</v>
      </c>
      <c r="AR36" s="25">
        <f t="shared" si="16"/>
        <v>121.17470356426595</v>
      </c>
      <c r="AS36" s="25">
        <f t="shared" si="17"/>
        <v>106.33641959806444</v>
      </c>
      <c r="AT36" s="25">
        <f t="shared" si="18"/>
        <v>135.99056993296423</v>
      </c>
      <c r="AU36">
        <f>+A36</f>
        <v>1733</v>
      </c>
    </row>
    <row r="37" spans="1:47" x14ac:dyDescent="0.2">
      <c r="A37">
        <v>1734</v>
      </c>
      <c r="B37">
        <v>2336300</v>
      </c>
      <c r="C37" s="25">
        <v>1272.5</v>
      </c>
      <c r="D37" s="25"/>
      <c r="E37" s="25">
        <f>+C37*0.8</f>
        <v>1018</v>
      </c>
      <c r="F37" s="24">
        <f>+E37/(Population!AE37+Population!AG37)</f>
        <v>0.23650654327190648</v>
      </c>
      <c r="G37" s="25">
        <f>+C37+(Population!V37-Population!AE37)*0.3</f>
        <v>3471.1609962608609</v>
      </c>
      <c r="H37" s="25">
        <v>2343</v>
      </c>
      <c r="I37" s="25">
        <v>18871</v>
      </c>
      <c r="J37" s="25">
        <v>151</v>
      </c>
      <c r="K37" s="25">
        <v>2301</v>
      </c>
      <c r="L37" s="25">
        <v>94</v>
      </c>
      <c r="M37">
        <v>986</v>
      </c>
      <c r="N37" s="25">
        <f t="shared" si="0"/>
        <v>22158</v>
      </c>
      <c r="O37" s="25">
        <f t="shared" si="1"/>
        <v>22158</v>
      </c>
      <c r="P37" s="25">
        <f t="shared" si="2"/>
        <v>28805.4</v>
      </c>
      <c r="Q37" s="25">
        <f>2.5*Population!U37+1.25*(Population!V37-Population!U37)</f>
        <v>24062.193330580823</v>
      </c>
      <c r="R37">
        <v>8000</v>
      </c>
      <c r="S37" s="33">
        <f t="shared" si="3"/>
        <v>3240</v>
      </c>
      <c r="T37">
        <f>+A37</f>
        <v>1734</v>
      </c>
      <c r="U37" s="25">
        <f t="shared" si="4"/>
        <v>35302.19333058082</v>
      </c>
      <c r="V37" s="25">
        <f t="shared" si="5"/>
        <v>28805.4</v>
      </c>
      <c r="W37">
        <v>1.3</v>
      </c>
      <c r="X37">
        <v>81</v>
      </c>
      <c r="Y37" s="25">
        <f>+'Livestock in possession'!AD36/1000</f>
        <v>3215.046859102094</v>
      </c>
      <c r="Z37" s="40">
        <f>+('Meat supplied to the Company'!Q36*0.2+'Meat supplied to the Company'!R36*0.8)</f>
        <v>9.3750000000000014E-2</v>
      </c>
      <c r="AA37" s="25">
        <f t="shared" si="6"/>
        <v>301.41064304082136</v>
      </c>
      <c r="AB37" s="25"/>
      <c r="AC37" s="25">
        <f t="shared" si="7"/>
        <v>301.41064304082136</v>
      </c>
      <c r="AD37" s="25"/>
      <c r="AE37" s="24">
        <f>+'Exports in money value'!J39</f>
        <v>8</v>
      </c>
      <c r="AF37" s="25">
        <f t="shared" si="8"/>
        <v>256.43037332232331</v>
      </c>
      <c r="AG37" s="41">
        <v>86.738079896907365</v>
      </c>
      <c r="AH37" s="25">
        <f t="shared" si="9"/>
        <v>301.08183982870315</v>
      </c>
      <c r="AI37" s="25">
        <v>143.40084507353461</v>
      </c>
      <c r="AJ37" s="25">
        <f t="shared" si="10"/>
        <v>1002.3237012653824</v>
      </c>
      <c r="AK37" s="24">
        <f t="shared" si="11"/>
        <v>0.30071187846830905</v>
      </c>
      <c r="AL37" s="24">
        <f t="shared" si="12"/>
        <v>0.25583588714762812</v>
      </c>
      <c r="AM37" s="24">
        <f t="shared" si="13"/>
        <v>0.30038383752534509</v>
      </c>
      <c r="AN37" s="25">
        <f>1000*AJ37/(Population!V37*0.596+Population!W37)</f>
        <v>139.10795511244342</v>
      </c>
      <c r="AO37" s="25"/>
      <c r="AP37" s="25">
        <f t="shared" si="14"/>
        <v>100</v>
      </c>
      <c r="AQ37" s="25">
        <f t="shared" si="15"/>
        <v>99.946695095948854</v>
      </c>
      <c r="AR37" s="25">
        <f t="shared" si="16"/>
        <v>148.01720118926173</v>
      </c>
      <c r="AS37" s="25">
        <f t="shared" si="17"/>
        <v>114.38916888556318</v>
      </c>
      <c r="AT37" s="25">
        <f t="shared" si="18"/>
        <v>121.60937654124345</v>
      </c>
      <c r="AU37">
        <f>+A37</f>
        <v>1734</v>
      </c>
    </row>
    <row r="38" spans="1:47" x14ac:dyDescent="0.2">
      <c r="A38">
        <v>1735</v>
      </c>
      <c r="B38">
        <v>2783400</v>
      </c>
      <c r="C38" s="25">
        <v>1889.5</v>
      </c>
      <c r="D38" s="25"/>
      <c r="E38" s="25">
        <f>+C38*0.8</f>
        <v>1511.6000000000001</v>
      </c>
      <c r="F38" s="24">
        <f>+E38/(Population!AE38+Population!AG38)</f>
        <v>0.3339118107874664</v>
      </c>
      <c r="G38" s="25">
        <f>+C38+(Population!V38-Population!AE38)*0.3</f>
        <v>4171.0071339831211</v>
      </c>
      <c r="H38" s="25">
        <v>2562</v>
      </c>
      <c r="I38" s="25">
        <v>20309</v>
      </c>
      <c r="J38" s="25">
        <v>184</v>
      </c>
      <c r="K38" s="25">
        <v>2185</v>
      </c>
      <c r="L38" s="25">
        <v>83</v>
      </c>
      <c r="M38">
        <v>832</v>
      </c>
      <c r="N38" s="25">
        <f t="shared" si="0"/>
        <v>23326</v>
      </c>
      <c r="O38" s="25">
        <f t="shared" si="1"/>
        <v>23326</v>
      </c>
      <c r="P38" s="25">
        <f t="shared" si="2"/>
        <v>30323.8</v>
      </c>
      <c r="Q38" s="25">
        <f>2.5*Population!U38+1.25*(Population!V38-Population!U38)</f>
        <v>24954.84273085737</v>
      </c>
      <c r="R38" s="30">
        <v>6775</v>
      </c>
      <c r="S38" s="33">
        <f t="shared" si="3"/>
        <v>3360</v>
      </c>
      <c r="T38">
        <f>+A38</f>
        <v>1735</v>
      </c>
      <c r="U38" s="25">
        <f t="shared" si="4"/>
        <v>35089.842730857374</v>
      </c>
      <c r="V38" s="25">
        <f t="shared" si="5"/>
        <v>30323.8</v>
      </c>
      <c r="W38">
        <v>1.3</v>
      </c>
      <c r="X38">
        <v>84</v>
      </c>
      <c r="Y38" s="25">
        <f>+'Livestock in possession'!AD37/1000</f>
        <v>3418.2524790275847</v>
      </c>
      <c r="Z38" s="40">
        <f>+('Meat supplied to the Company'!Q37*0.2+'Meat supplied to the Company'!R37*0.8)</f>
        <v>9.3750000000000014E-2</v>
      </c>
      <c r="AA38" s="25">
        <f t="shared" si="6"/>
        <v>320.4611699088361</v>
      </c>
      <c r="AB38" s="25"/>
      <c r="AC38" s="25">
        <f t="shared" si="7"/>
        <v>320.4611699088361</v>
      </c>
      <c r="AD38" s="25"/>
      <c r="AE38" s="24">
        <f>+'Exports in money value'!J40</f>
        <v>8</v>
      </c>
      <c r="AF38" s="25">
        <f t="shared" si="8"/>
        <v>261.6545709234295</v>
      </c>
      <c r="AG38" s="41">
        <v>68.91108247422676</v>
      </c>
      <c r="AH38" s="25">
        <f t="shared" si="9"/>
        <v>287.42861661049903</v>
      </c>
      <c r="AI38" s="25">
        <v>117.65322247577976</v>
      </c>
      <c r="AJ38" s="25">
        <f t="shared" si="10"/>
        <v>987.19757991854453</v>
      </c>
      <c r="AK38" s="24">
        <f t="shared" si="11"/>
        <v>0.32461705379715167</v>
      </c>
      <c r="AL38" s="24">
        <f t="shared" si="12"/>
        <v>0.26504782451454056</v>
      </c>
      <c r="AM38" s="24">
        <f t="shared" si="13"/>
        <v>0.29115611956242365</v>
      </c>
      <c r="AN38" s="25">
        <f>1000*AJ38/(Population!V38*0.596+Population!W38)</f>
        <v>130.80970123903037</v>
      </c>
      <c r="AO38" s="25"/>
      <c r="AP38" s="25">
        <f t="shared" si="14"/>
        <v>100</v>
      </c>
      <c r="AQ38" s="25">
        <f t="shared" si="15"/>
        <v>99.946695095948854</v>
      </c>
      <c r="AR38" s="25">
        <f t="shared" si="16"/>
        <v>117.59570388093303</v>
      </c>
      <c r="AS38" s="25">
        <f t="shared" si="17"/>
        <v>105.26271969306455</v>
      </c>
      <c r="AT38" s="25">
        <f t="shared" si="18"/>
        <v>124.2697335015267</v>
      </c>
      <c r="AU38">
        <f>+A38</f>
        <v>1735</v>
      </c>
    </row>
    <row r="39" spans="1:47" x14ac:dyDescent="0.2">
      <c r="A39">
        <v>1736</v>
      </c>
      <c r="B39">
        <v>2797900</v>
      </c>
      <c r="C39" s="25">
        <v>1289</v>
      </c>
      <c r="D39" s="25"/>
      <c r="E39" s="25">
        <f>+C39*0.8</f>
        <v>1031.2</v>
      </c>
      <c r="F39" s="24">
        <f>+E39/(Population!AE39+Population!AG39)</f>
        <v>0.22571346369740442</v>
      </c>
      <c r="G39" s="25">
        <f>+C39+(Population!V39-Population!AE39)*0.3</f>
        <v>3623.155882671681</v>
      </c>
      <c r="H39" s="25">
        <v>2412.5</v>
      </c>
      <c r="I39" s="25">
        <v>17268.5</v>
      </c>
      <c r="J39" s="25">
        <v>152.5</v>
      </c>
      <c r="K39" s="25">
        <v>1809</v>
      </c>
      <c r="L39" s="25">
        <v>97.5</v>
      </c>
      <c r="M39">
        <v>878</v>
      </c>
      <c r="N39" s="25">
        <f t="shared" si="0"/>
        <v>19955.5</v>
      </c>
      <c r="O39" s="25">
        <f t="shared" si="1"/>
        <v>19955.5</v>
      </c>
      <c r="P39" s="25">
        <f t="shared" si="2"/>
        <v>25942.15</v>
      </c>
      <c r="Q39" s="25">
        <f>2.5*Population!U39+1.25*(Population!V39-Population!U39)</f>
        <v>25501.936376831156</v>
      </c>
      <c r="R39" s="30">
        <v>6775</v>
      </c>
      <c r="S39" s="33">
        <f t="shared" si="3"/>
        <v>2720</v>
      </c>
      <c r="T39">
        <f>+A39</f>
        <v>1736</v>
      </c>
      <c r="U39" s="25">
        <f t="shared" si="4"/>
        <v>34996.93637683116</v>
      </c>
      <c r="V39" s="25">
        <f t="shared" si="5"/>
        <v>25942.15</v>
      </c>
      <c r="W39">
        <v>1.3</v>
      </c>
      <c r="X39">
        <v>68</v>
      </c>
      <c r="Y39" s="25">
        <f>+'Livestock in possession'!AD38/1000</f>
        <v>3368.1287091859008</v>
      </c>
      <c r="Z39" s="40">
        <f>+('Meat supplied to the Company'!Q38*0.2+'Meat supplied to the Company'!R38*0.8)</f>
        <v>9.3750000000000014E-2</v>
      </c>
      <c r="AA39" s="25">
        <f t="shared" si="6"/>
        <v>315.76206648617824</v>
      </c>
      <c r="AB39" s="25"/>
      <c r="AC39" s="25">
        <f t="shared" si="7"/>
        <v>315.76206648617824</v>
      </c>
      <c r="AD39" s="25"/>
      <c r="AE39" s="24">
        <f>+'Exports in money value'!J41</f>
        <v>8</v>
      </c>
      <c r="AF39" s="25">
        <f t="shared" si="8"/>
        <v>243.75634550732465</v>
      </c>
      <c r="AG39" s="41">
        <v>74.304123711340125</v>
      </c>
      <c r="AH39" s="25">
        <f t="shared" si="9"/>
        <v>269.21542293150628</v>
      </c>
      <c r="AI39" s="25">
        <v>64.538312813928115</v>
      </c>
      <c r="AJ39" s="25">
        <f t="shared" si="10"/>
        <v>893.27214773893729</v>
      </c>
      <c r="AK39" s="24">
        <f t="shared" si="11"/>
        <v>0.35348921074662354</v>
      </c>
      <c r="AL39" s="24">
        <f t="shared" si="12"/>
        <v>0.27288027072636717</v>
      </c>
      <c r="AM39" s="24">
        <f t="shared" si="13"/>
        <v>0.30138119005831321</v>
      </c>
      <c r="AN39" s="25">
        <f>1000*AJ39/(Population!V39*0.596+Population!W39)</f>
        <v>115.2756082353297</v>
      </c>
      <c r="AO39" s="25"/>
      <c r="AP39" s="25">
        <f t="shared" si="14"/>
        <v>100</v>
      </c>
      <c r="AQ39" s="25">
        <f t="shared" si="15"/>
        <v>99.946695095948854</v>
      </c>
      <c r="AR39" s="25">
        <f t="shared" si="16"/>
        <v>126.7988459237886</v>
      </c>
      <c r="AS39" s="25">
        <f t="shared" si="17"/>
        <v>108.02366230592123</v>
      </c>
      <c r="AT39" s="25">
        <f t="shared" si="18"/>
        <v>106.71329389747135</v>
      </c>
      <c r="AU39">
        <f>+A39</f>
        <v>1736</v>
      </c>
    </row>
    <row r="40" spans="1:47" x14ac:dyDescent="0.2">
      <c r="A40">
        <v>1737</v>
      </c>
      <c r="B40">
        <v>2739000</v>
      </c>
      <c r="C40" s="25">
        <v>1569.5</v>
      </c>
      <c r="D40" s="25"/>
      <c r="E40" s="25">
        <f>+C40*0.8</f>
        <v>1255.6000000000001</v>
      </c>
      <c r="F40" s="24">
        <f>+E40/(Population!AE40+Population!AG40)</f>
        <v>0.28090181877966153</v>
      </c>
      <c r="G40" s="25">
        <f>+C40+(Population!V40-Population!AE40)*0.3</f>
        <v>3904.8893631548899</v>
      </c>
      <c r="H40" s="25">
        <v>2465</v>
      </c>
      <c r="I40" s="25">
        <v>14932.5</v>
      </c>
      <c r="J40" s="25">
        <v>148</v>
      </c>
      <c r="K40" s="25">
        <v>1687</v>
      </c>
      <c r="L40" s="25">
        <v>155</v>
      </c>
      <c r="M40">
        <v>1622</v>
      </c>
      <c r="N40" s="25">
        <f t="shared" si="0"/>
        <v>18241.5</v>
      </c>
      <c r="O40" s="25">
        <f t="shared" si="1"/>
        <v>18241.5</v>
      </c>
      <c r="P40" s="25">
        <f t="shared" si="2"/>
        <v>23713.95</v>
      </c>
      <c r="Q40" s="25">
        <f>2.5*Population!U40+1.25*(Population!V40-Population!U40)</f>
        <v>25424.773957250905</v>
      </c>
      <c r="R40">
        <v>5550</v>
      </c>
      <c r="S40" s="33">
        <f t="shared" si="3"/>
        <v>3480</v>
      </c>
      <c r="T40">
        <f>+A40</f>
        <v>1737</v>
      </c>
      <c r="U40" s="25">
        <f t="shared" si="4"/>
        <v>34454.773957250902</v>
      </c>
      <c r="V40" s="25">
        <f t="shared" si="5"/>
        <v>23713.95</v>
      </c>
      <c r="W40">
        <v>1.3</v>
      </c>
      <c r="X40">
        <v>87</v>
      </c>
      <c r="Y40" s="25">
        <f>+'Livestock in possession'!AD39/1000</f>
        <v>3503.8493823045733</v>
      </c>
      <c r="Z40" s="40">
        <f>+('Meat supplied to the Company'!Q39*0.2+'Meat supplied to the Company'!R39*0.8)</f>
        <v>9.3750000000000014E-2</v>
      </c>
      <c r="AA40" s="25">
        <f t="shared" si="6"/>
        <v>328.48587959105379</v>
      </c>
      <c r="AB40" s="25"/>
      <c r="AC40" s="25">
        <f t="shared" si="7"/>
        <v>328.48587959105379</v>
      </c>
      <c r="AD40" s="25"/>
      <c r="AE40" s="24">
        <f>+'Exports in money value'!J42</f>
        <v>8</v>
      </c>
      <c r="AF40" s="25">
        <f t="shared" si="8"/>
        <v>232.67489582900359</v>
      </c>
      <c r="AG40" s="41">
        <v>56.32731958762875</v>
      </c>
      <c r="AH40" s="25">
        <f t="shared" si="9"/>
        <v>219.95195111275757</v>
      </c>
      <c r="AI40" s="25">
        <v>84.811171223477331</v>
      </c>
      <c r="AJ40" s="25">
        <f t="shared" si="10"/>
        <v>865.92389775629238</v>
      </c>
      <c r="AK40" s="24">
        <f t="shared" si="11"/>
        <v>0.37934728495448411</v>
      </c>
      <c r="AL40" s="24">
        <f t="shared" si="12"/>
        <v>0.26870132171186267</v>
      </c>
      <c r="AM40" s="24">
        <f t="shared" si="13"/>
        <v>0.2540084084556139</v>
      </c>
      <c r="AN40" s="25">
        <f>1000*AJ40/(Population!V40*0.596+Population!W40)</f>
        <v>112.07085821298655</v>
      </c>
      <c r="AO40" s="25"/>
      <c r="AP40" s="25">
        <f t="shared" si="14"/>
        <v>100</v>
      </c>
      <c r="AQ40" s="25">
        <f t="shared" si="15"/>
        <v>99.946695095948854</v>
      </c>
      <c r="AR40" s="25">
        <f t="shared" si="16"/>
        <v>96.121705780936438</v>
      </c>
      <c r="AS40" s="25">
        <f t="shared" si="17"/>
        <v>98.820520263065589</v>
      </c>
      <c r="AT40" s="25">
        <f t="shared" si="18"/>
        <v>113.40848835307469</v>
      </c>
      <c r="AU40">
        <f>+A40</f>
        <v>1737</v>
      </c>
    </row>
    <row r="41" spans="1:47" x14ac:dyDescent="0.2">
      <c r="A41">
        <v>1738</v>
      </c>
      <c r="B41">
        <v>2573500</v>
      </c>
      <c r="C41" s="25">
        <v>963.5</v>
      </c>
      <c r="D41" s="25"/>
      <c r="E41" s="25">
        <f>+C41*0.8</f>
        <v>770.80000000000007</v>
      </c>
      <c r="F41" s="24">
        <f>+E41/(Population!AE41+Population!AG41)</f>
        <v>0.16904598138123858</v>
      </c>
      <c r="G41" s="25">
        <f>+C41+(Population!V41-Population!AE41)*0.3</f>
        <v>3328.2755744539163</v>
      </c>
      <c r="H41" s="25">
        <v>2579</v>
      </c>
      <c r="I41" s="25">
        <v>15765</v>
      </c>
      <c r="J41" s="25">
        <v>226</v>
      </c>
      <c r="K41" s="25">
        <v>2582</v>
      </c>
      <c r="L41" s="25">
        <v>155</v>
      </c>
      <c r="M41">
        <v>1320</v>
      </c>
      <c r="N41" s="25">
        <f t="shared" si="0"/>
        <v>19667</v>
      </c>
      <c r="O41" s="25">
        <f t="shared" si="1"/>
        <v>19667</v>
      </c>
      <c r="P41" s="25">
        <f t="shared" si="2"/>
        <v>25567.100000000002</v>
      </c>
      <c r="Q41" s="25">
        <f>2.5*Population!U41+1.25*(Population!V41-Population!U41)</f>
        <v>25701.459333798841</v>
      </c>
      <c r="R41" s="30">
        <v>2775</v>
      </c>
      <c r="S41" s="33">
        <f t="shared" si="3"/>
        <v>3560</v>
      </c>
      <c r="T41">
        <f>+A41</f>
        <v>1738</v>
      </c>
      <c r="U41" s="25">
        <f t="shared" si="4"/>
        <v>32036.459333798841</v>
      </c>
      <c r="V41" s="25">
        <f t="shared" si="5"/>
        <v>25567.100000000002</v>
      </c>
      <c r="W41">
        <v>1.3</v>
      </c>
      <c r="X41">
        <v>89</v>
      </c>
      <c r="Y41" s="25">
        <f>+'Livestock in possession'!AD40/1000</f>
        <v>3670.7285450137574</v>
      </c>
      <c r="Z41" s="40">
        <f>+('Meat supplied to the Company'!Q40*0.2+'Meat supplied to the Company'!R40*0.8)</f>
        <v>9.3750000000000014E-2</v>
      </c>
      <c r="AA41" s="25">
        <f t="shared" si="6"/>
        <v>344.13080109503983</v>
      </c>
      <c r="AB41" s="25"/>
      <c r="AC41" s="25">
        <f t="shared" si="7"/>
        <v>344.13080109503983</v>
      </c>
      <c r="AD41" s="25"/>
      <c r="AE41" s="24">
        <f>+'Exports in money value'!J43</f>
        <v>8</v>
      </c>
      <c r="AF41" s="25">
        <f t="shared" si="8"/>
        <v>230.41423733519537</v>
      </c>
      <c r="AG41" s="41">
        <v>35.354381443298962</v>
      </c>
      <c r="AH41" s="25">
        <f t="shared" si="9"/>
        <v>117.66912420765874</v>
      </c>
      <c r="AI41" s="25">
        <v>130.30119497903763</v>
      </c>
      <c r="AJ41" s="25">
        <f t="shared" si="10"/>
        <v>822.51535761693151</v>
      </c>
      <c r="AK41" s="24">
        <f t="shared" si="11"/>
        <v>0.41838829865996396</v>
      </c>
      <c r="AL41" s="24">
        <f t="shared" si="12"/>
        <v>0.28013365975654614</v>
      </c>
      <c r="AM41" s="24">
        <f t="shared" si="13"/>
        <v>0.14306009379396969</v>
      </c>
      <c r="AN41" s="25">
        <f>1000*AJ41/(Population!V41*0.596+Population!W41)</f>
        <v>105.74687679822485</v>
      </c>
      <c r="AO41" s="25"/>
      <c r="AP41" s="25">
        <f t="shared" si="14"/>
        <v>100</v>
      </c>
      <c r="AQ41" s="25">
        <f t="shared" si="15"/>
        <v>99.946695095948854</v>
      </c>
      <c r="AR41" s="25">
        <f t="shared" si="16"/>
        <v>60.331708947609151</v>
      </c>
      <c r="AS41" s="25">
        <f t="shared" si="17"/>
        <v>88.083521213067399</v>
      </c>
      <c r="AT41" s="25">
        <f t="shared" si="18"/>
        <v>120.05296262218118</v>
      </c>
      <c r="AU41">
        <f>+A41</f>
        <v>1738</v>
      </c>
    </row>
    <row r="42" spans="1:47" x14ac:dyDescent="0.2">
      <c r="A42">
        <v>1739</v>
      </c>
      <c r="B42">
        <v>2333700</v>
      </c>
      <c r="C42" s="25">
        <v>860.5</v>
      </c>
      <c r="D42" s="25"/>
      <c r="E42" s="25">
        <f>+C42*0.8</f>
        <v>688.40000000000009</v>
      </c>
      <c r="F42" s="24">
        <f>+E42/(Population!AE42+Population!AG42)</f>
        <v>0.15700345285742071</v>
      </c>
      <c r="G42" s="25">
        <f>+C42+(Population!V42-Population!AE42)*0.3</f>
        <v>3222.3130395858939</v>
      </c>
      <c r="H42" s="25">
        <v>2951.5</v>
      </c>
      <c r="I42" s="25">
        <v>8196</v>
      </c>
      <c r="J42" s="25">
        <v>189.5</v>
      </c>
      <c r="K42" s="25">
        <v>1093.5</v>
      </c>
      <c r="L42" s="25">
        <v>154.5</v>
      </c>
      <c r="M42">
        <v>902</v>
      </c>
      <c r="N42" s="25">
        <f t="shared" si="0"/>
        <v>10191.5</v>
      </c>
      <c r="O42" s="25">
        <f t="shared" si="1"/>
        <v>10191.5</v>
      </c>
      <c r="P42" s="25">
        <f t="shared" si="2"/>
        <v>13248.95</v>
      </c>
      <c r="Q42" s="25">
        <f>2.5*Population!U42+1.25*(Population!V42-Population!U42)</f>
        <v>25609.674357027168</v>
      </c>
      <c r="R42">
        <v>0</v>
      </c>
      <c r="S42" s="33">
        <f t="shared" si="3"/>
        <v>3000</v>
      </c>
      <c r="T42">
        <f>+A42</f>
        <v>1739</v>
      </c>
      <c r="U42" s="25">
        <f t="shared" si="4"/>
        <v>28609.674357027168</v>
      </c>
      <c r="V42" s="25">
        <f t="shared" si="5"/>
        <v>13248.95</v>
      </c>
      <c r="W42">
        <v>1.3</v>
      </c>
      <c r="X42">
        <v>75</v>
      </c>
      <c r="Y42" s="25">
        <f>+'Livestock in possession'!AD41/1000</f>
        <v>3442.0361287831142</v>
      </c>
      <c r="Z42" s="40">
        <f>+('Meat supplied to the Company'!Q41*0.2+'Meat supplied to the Company'!R41*0.8)</f>
        <v>9.3750000000000014E-2</v>
      </c>
      <c r="AA42" s="25">
        <f t="shared" si="6"/>
        <v>322.690887073417</v>
      </c>
      <c r="AB42" s="25"/>
      <c r="AC42" s="25">
        <f t="shared" si="7"/>
        <v>322.690887073417</v>
      </c>
      <c r="AD42" s="25"/>
      <c r="AE42" s="24">
        <f>+'Exports in money value'!J44</f>
        <v>8</v>
      </c>
      <c r="AF42" s="25">
        <f t="shared" si="8"/>
        <v>167.43449742810867</v>
      </c>
      <c r="AG42" s="41">
        <v>47.938144329897</v>
      </c>
      <c r="AH42" s="25">
        <f t="shared" si="9"/>
        <v>154.47170756777768</v>
      </c>
      <c r="AI42" s="25">
        <v>185.73947196117894</v>
      </c>
      <c r="AJ42" s="25">
        <f t="shared" si="10"/>
        <v>830.33656403048235</v>
      </c>
      <c r="AK42" s="24">
        <f t="shared" si="11"/>
        <v>0.38862661365538848</v>
      </c>
      <c r="AL42" s="24">
        <f t="shared" si="12"/>
        <v>0.20164654271681814</v>
      </c>
      <c r="AM42" s="24">
        <f t="shared" si="13"/>
        <v>0.18603505404840501</v>
      </c>
      <c r="AN42" s="25">
        <f>1000*AJ42/(Population!V42*0.596+Population!W42)</f>
        <v>107.29663206212089</v>
      </c>
      <c r="AO42" s="25"/>
      <c r="AP42" s="25">
        <f t="shared" si="14"/>
        <v>100</v>
      </c>
      <c r="AQ42" s="25">
        <f t="shared" si="15"/>
        <v>99.946695095948854</v>
      </c>
      <c r="AR42" s="25">
        <f t="shared" si="16"/>
        <v>81.805707047605807</v>
      </c>
      <c r="AS42" s="25">
        <f t="shared" si="17"/>
        <v>94.525720643066393</v>
      </c>
      <c r="AT42" s="25">
        <f t="shared" si="18"/>
        <v>113.51051473839388</v>
      </c>
      <c r="AU42">
        <f>+A42</f>
        <v>1739</v>
      </c>
    </row>
    <row r="43" spans="1:47" x14ac:dyDescent="0.2">
      <c r="A43">
        <v>1740</v>
      </c>
      <c r="B43">
        <v>2425300</v>
      </c>
      <c r="C43" s="25">
        <v>937.5</v>
      </c>
      <c r="D43" s="25"/>
      <c r="E43" s="25">
        <f>+C43*0.8</f>
        <v>750</v>
      </c>
      <c r="F43" s="24">
        <f>+E43/(Population!AE43+Population!AG43)</f>
        <v>0.17119293636588434</v>
      </c>
      <c r="G43" s="25">
        <f>+C43+(Population!V43-Population!AE43)*0.3</f>
        <v>3276.2549006582358</v>
      </c>
      <c r="H43" s="25">
        <v>3673</v>
      </c>
      <c r="I43" s="25">
        <v>9631</v>
      </c>
      <c r="J43" s="25">
        <v>382.25</v>
      </c>
      <c r="K43" s="25">
        <v>4755</v>
      </c>
      <c r="L43" s="25">
        <v>259.5</v>
      </c>
      <c r="M43">
        <v>995</v>
      </c>
      <c r="N43" s="25">
        <f t="shared" si="0"/>
        <v>15381</v>
      </c>
      <c r="O43" s="25">
        <f t="shared" si="1"/>
        <v>15381</v>
      </c>
      <c r="P43" s="25">
        <f t="shared" si="2"/>
        <v>19995.3</v>
      </c>
      <c r="Q43" s="25">
        <f>2.5*Population!U43+1.25*(Population!V43-Population!U43)</f>
        <v>25261.42011389005</v>
      </c>
      <c r="R43">
        <v>0</v>
      </c>
      <c r="S43" s="33">
        <f t="shared" si="3"/>
        <v>2480</v>
      </c>
      <c r="T43">
        <f>+A43</f>
        <v>1740</v>
      </c>
      <c r="U43" s="25">
        <f t="shared" si="4"/>
        <v>27741.42011389005</v>
      </c>
      <c r="V43" s="25">
        <f t="shared" si="5"/>
        <v>19995.3</v>
      </c>
      <c r="W43">
        <v>1.3</v>
      </c>
      <c r="X43">
        <v>62</v>
      </c>
      <c r="Y43" s="25">
        <f>+'Livestock in possession'!AD42/1000</f>
        <v>3511.2580892257392</v>
      </c>
      <c r="Z43" s="40">
        <f>+('Meat supplied to the Company'!Q42*0.2+'Meat supplied to the Company'!R42*0.8)</f>
        <v>9.3750000000000014E-2</v>
      </c>
      <c r="AA43" s="25">
        <f t="shared" si="6"/>
        <v>329.18044586491311</v>
      </c>
      <c r="AB43" s="25"/>
      <c r="AC43" s="25">
        <f t="shared" si="7"/>
        <v>329.18044586491311</v>
      </c>
      <c r="AD43" s="25"/>
      <c r="AE43" s="24">
        <f>+'Exports in money value'!J45</f>
        <v>8</v>
      </c>
      <c r="AF43" s="25">
        <f t="shared" si="8"/>
        <v>190.9468804555602</v>
      </c>
      <c r="AG43" s="41">
        <v>47.938144329897</v>
      </c>
      <c r="AH43" s="25">
        <f t="shared" si="9"/>
        <v>157.05758028928685</v>
      </c>
      <c r="AI43" s="25">
        <v>229.99082517457728</v>
      </c>
      <c r="AJ43" s="25">
        <f t="shared" si="10"/>
        <v>907.17573178433747</v>
      </c>
      <c r="AK43" s="24">
        <f t="shared" si="11"/>
        <v>0.36286293198942082</v>
      </c>
      <c r="AL43" s="24">
        <f t="shared" si="12"/>
        <v>0.21048499619801772</v>
      </c>
      <c r="AM43" s="24">
        <f t="shared" si="13"/>
        <v>0.17312806635641359</v>
      </c>
      <c r="AN43" s="25">
        <f>1000*AJ43/(Population!V43*0.596+Population!W43)</f>
        <v>119.51444249286681</v>
      </c>
      <c r="AO43" s="25"/>
      <c r="AP43" s="25">
        <f t="shared" si="14"/>
        <v>100</v>
      </c>
      <c r="AQ43" s="25">
        <f t="shared" si="15"/>
        <v>99.946695095948854</v>
      </c>
      <c r="AR43" s="25">
        <f t="shared" si="16"/>
        <v>81.805707047605807</v>
      </c>
      <c r="AS43" s="25">
        <f t="shared" si="17"/>
        <v>94.525720643066393</v>
      </c>
      <c r="AT43" s="25">
        <f t="shared" si="18"/>
        <v>126.43589668483884</v>
      </c>
      <c r="AU43">
        <f>+A43</f>
        <v>1740</v>
      </c>
    </row>
    <row r="44" spans="1:47" x14ac:dyDescent="0.2">
      <c r="A44">
        <v>1741</v>
      </c>
      <c r="B44">
        <v>2353000</v>
      </c>
      <c r="C44" s="25">
        <v>1028.5</v>
      </c>
      <c r="D44" s="25"/>
      <c r="E44" s="25">
        <f>+C44*0.8</f>
        <v>822.80000000000007</v>
      </c>
      <c r="F44" s="24">
        <f>+E44/(Population!AE44+Population!AG44)</f>
        <v>0.17308468935343793</v>
      </c>
      <c r="G44" s="25">
        <f>+C44+(Population!V44-Population!AE44)*0.3</f>
        <v>3547.5571705710254</v>
      </c>
      <c r="H44" s="25">
        <v>3139.5</v>
      </c>
      <c r="I44" s="25">
        <v>29762</v>
      </c>
      <c r="J44" s="25">
        <v>217</v>
      </c>
      <c r="K44" s="25">
        <v>3041</v>
      </c>
      <c r="L44" s="25">
        <v>179</v>
      </c>
      <c r="M44">
        <v>2040</v>
      </c>
      <c r="N44" s="25">
        <f t="shared" si="0"/>
        <v>34843</v>
      </c>
      <c r="O44" s="25">
        <f t="shared" si="1"/>
        <v>34843</v>
      </c>
      <c r="P44" s="25">
        <f t="shared" si="2"/>
        <v>45295.9</v>
      </c>
      <c r="Q44" s="25">
        <f>2.5*Population!U44+1.25*(Population!V44-Population!U44)</f>
        <v>27543.389653237275</v>
      </c>
      <c r="R44">
        <v>18963</v>
      </c>
      <c r="S44" s="33">
        <f t="shared" si="3"/>
        <v>2920</v>
      </c>
      <c r="T44">
        <f>+A44</f>
        <v>1741</v>
      </c>
      <c r="U44" s="25">
        <f t="shared" si="4"/>
        <v>49426.389653237275</v>
      </c>
      <c r="V44" s="25">
        <f t="shared" si="5"/>
        <v>45295.9</v>
      </c>
      <c r="W44">
        <v>1.3</v>
      </c>
      <c r="X44">
        <v>73</v>
      </c>
      <c r="Y44" s="25">
        <f>+'Livestock in possession'!AD43/1000</f>
        <v>3583.2018526950701</v>
      </c>
      <c r="Z44" s="40">
        <f>+('Meat supplied to the Company'!Q43*0.2+'Meat supplied to the Company'!R43*0.8)</f>
        <v>9.3750000000000014E-2</v>
      </c>
      <c r="AA44" s="25">
        <f t="shared" si="6"/>
        <v>335.92517369016286</v>
      </c>
      <c r="AB44" s="25"/>
      <c r="AC44" s="25">
        <f t="shared" si="7"/>
        <v>335.92517369016286</v>
      </c>
      <c r="AD44" s="25"/>
      <c r="AE44" s="24">
        <f>+'Exports in money value'!J46</f>
        <v>8</v>
      </c>
      <c r="AF44" s="25">
        <f t="shared" si="8"/>
        <v>378.88915861294907</v>
      </c>
      <c r="AG44" s="41">
        <v>72.200980392156879</v>
      </c>
      <c r="AH44" s="25">
        <f t="shared" si="9"/>
        <v>256.13710571245412</v>
      </c>
      <c r="AI44" s="25">
        <v>205.69091889090726</v>
      </c>
      <c r="AJ44" s="25">
        <f t="shared" si="10"/>
        <v>1176.6423569064732</v>
      </c>
      <c r="AK44" s="24">
        <f t="shared" si="11"/>
        <v>0.28549471444606872</v>
      </c>
      <c r="AL44" s="24">
        <f t="shared" si="12"/>
        <v>0.322008770455189</v>
      </c>
      <c r="AM44" s="24">
        <f t="shared" si="13"/>
        <v>0.21768475714733554</v>
      </c>
      <c r="AN44" s="25">
        <f>1000*AJ44/(Population!V44*0.596+Population!W44)</f>
        <v>143.8744086838864</v>
      </c>
      <c r="AO44" s="25"/>
      <c r="AP44" s="25">
        <f t="shared" si="14"/>
        <v>100</v>
      </c>
      <c r="AQ44" s="25">
        <f t="shared" si="15"/>
        <v>99.946695095948854</v>
      </c>
      <c r="AR44" s="25">
        <f t="shared" si="16"/>
        <v>123.20986415043836</v>
      </c>
      <c r="AS44" s="25">
        <f t="shared" si="17"/>
        <v>106.94696777391616</v>
      </c>
      <c r="AT44" s="25">
        <f t="shared" si="18"/>
        <v>134.52874043893806</v>
      </c>
      <c r="AU44">
        <f>+A44</f>
        <v>1741</v>
      </c>
    </row>
    <row r="45" spans="1:47" x14ac:dyDescent="0.2">
      <c r="A45">
        <v>1742</v>
      </c>
      <c r="B45">
        <v>2404100</v>
      </c>
      <c r="C45" s="25">
        <v>1204.5</v>
      </c>
      <c r="D45" s="25"/>
      <c r="E45" s="25">
        <f>+C45*0.8</f>
        <v>963.6</v>
      </c>
      <c r="F45" s="24">
        <f>+E45/(Population!AE45+Population!AG45)</f>
        <v>0.21635542011052822</v>
      </c>
      <c r="G45" s="25">
        <f>+C45+(Population!V45-Population!AE45)*0.3</f>
        <v>3575.6938655250046</v>
      </c>
      <c r="H45" s="25">
        <v>3333</v>
      </c>
      <c r="I45" s="25">
        <v>26232</v>
      </c>
      <c r="J45" s="25">
        <v>210.5</v>
      </c>
      <c r="K45" s="25">
        <v>2884</v>
      </c>
      <c r="L45" s="25">
        <v>144.5</v>
      </c>
      <c r="M45">
        <v>1583</v>
      </c>
      <c r="N45" s="25">
        <f t="shared" si="0"/>
        <v>30699</v>
      </c>
      <c r="O45" s="25">
        <f t="shared" si="1"/>
        <v>30699</v>
      </c>
      <c r="P45" s="25">
        <f t="shared" si="2"/>
        <v>39908.700000000004</v>
      </c>
      <c r="Q45" s="25">
        <f>2.5*Population!U45+1.25*(Population!V45-Population!U45)</f>
        <v>25643.329706010416</v>
      </c>
      <c r="R45">
        <v>16743</v>
      </c>
      <c r="S45" s="33">
        <f t="shared" si="3"/>
        <v>2800</v>
      </c>
      <c r="T45">
        <f>+A45</f>
        <v>1742</v>
      </c>
      <c r="U45" s="25">
        <f t="shared" si="4"/>
        <v>45186.329706010416</v>
      </c>
      <c r="V45" s="25">
        <f t="shared" si="5"/>
        <v>39908.700000000004</v>
      </c>
      <c r="W45">
        <v>1.3</v>
      </c>
      <c r="X45">
        <v>70</v>
      </c>
      <c r="Y45" s="25">
        <f>+'Livestock in possession'!AD44/1000</f>
        <v>3660.2277605094746</v>
      </c>
      <c r="Z45" s="40">
        <f>+('Meat supplied to the Company'!Q44*0.2+'Meat supplied to the Company'!R44*0.8)</f>
        <v>7.482142857142858E-2</v>
      </c>
      <c r="AA45" s="25">
        <f t="shared" si="6"/>
        <v>273.86346993811964</v>
      </c>
      <c r="AB45" s="25"/>
      <c r="AC45" s="25">
        <f t="shared" si="7"/>
        <v>273.86346993811964</v>
      </c>
      <c r="AD45" s="25"/>
      <c r="AE45" s="24">
        <f>+'Exports in money value'!J47</f>
        <v>8</v>
      </c>
      <c r="AF45" s="25">
        <f t="shared" si="8"/>
        <v>340.38011882404169</v>
      </c>
      <c r="AG45" s="41">
        <v>83.1875</v>
      </c>
      <c r="AH45" s="25">
        <f t="shared" si="9"/>
        <v>297.45303343836133</v>
      </c>
      <c r="AI45" s="25">
        <v>136.57129005612492</v>
      </c>
      <c r="AJ45" s="25">
        <f t="shared" si="10"/>
        <v>1048.2679122566476</v>
      </c>
      <c r="AK45" s="24">
        <f t="shared" si="11"/>
        <v>0.26125331772157651</v>
      </c>
      <c r="AL45" s="24">
        <f t="shared" si="12"/>
        <v>0.32470718109771385</v>
      </c>
      <c r="AM45" s="24">
        <f t="shared" si="13"/>
        <v>0.28375669040371793</v>
      </c>
      <c r="AN45" s="25">
        <f>1000*AJ45/(Population!V45*0.596+Population!W45)</f>
        <v>137.402823302077</v>
      </c>
      <c r="AO45" s="25"/>
      <c r="AP45" s="25">
        <f t="shared" si="14"/>
        <v>100</v>
      </c>
      <c r="AQ45" s="25">
        <f t="shared" si="15"/>
        <v>79.766981419433449</v>
      </c>
      <c r="AR45" s="25">
        <f t="shared" si="16"/>
        <v>141.95819112627987</v>
      </c>
      <c r="AS45" s="25">
        <f t="shared" si="17"/>
        <v>106.517551763714</v>
      </c>
      <c r="AT45" s="25">
        <f t="shared" si="18"/>
        <v>128.99547635761968</v>
      </c>
      <c r="AU45">
        <f>+A45</f>
        <v>1742</v>
      </c>
    </row>
    <row r="46" spans="1:47" x14ac:dyDescent="0.2">
      <c r="A46">
        <v>1743</v>
      </c>
      <c r="B46">
        <v>2670000</v>
      </c>
      <c r="C46" s="25">
        <v>1981.5</v>
      </c>
      <c r="D46" s="25"/>
      <c r="E46" s="25">
        <f>+C46*0.8</f>
        <v>1585.2</v>
      </c>
      <c r="F46" s="24">
        <f>+E46/(Population!AE46+Population!AG46)</f>
        <v>0.36987259571652564</v>
      </c>
      <c r="G46" s="25">
        <f>+C46+(Population!V46-Population!AE46)*0.3</f>
        <v>4280.8039569920775</v>
      </c>
      <c r="H46" s="25">
        <v>3136.5</v>
      </c>
      <c r="I46" s="25">
        <v>21357</v>
      </c>
      <c r="J46" s="25">
        <v>204.5</v>
      </c>
      <c r="K46" s="25">
        <v>2848</v>
      </c>
      <c r="L46" s="25">
        <v>157</v>
      </c>
      <c r="M46">
        <v>1360</v>
      </c>
      <c r="N46" s="25">
        <f t="shared" si="0"/>
        <v>25565</v>
      </c>
      <c r="O46" s="25">
        <f t="shared" si="1"/>
        <v>25565</v>
      </c>
      <c r="P46" s="25">
        <f t="shared" si="2"/>
        <v>33234.5</v>
      </c>
      <c r="Q46" s="25">
        <f>2.5*Population!U46+1.25*(Population!V46-Population!U46)</f>
        <v>24681.209605647811</v>
      </c>
      <c r="R46">
        <v>10212</v>
      </c>
      <c r="S46" s="33">
        <f t="shared" si="3"/>
        <v>2480</v>
      </c>
      <c r="T46">
        <f>+A46</f>
        <v>1743</v>
      </c>
      <c r="U46" s="25">
        <f t="shared" si="4"/>
        <v>37373.209605647811</v>
      </c>
      <c r="V46" s="25">
        <f t="shared" si="5"/>
        <v>33234.5</v>
      </c>
      <c r="W46">
        <v>1.3</v>
      </c>
      <c r="X46">
        <v>62</v>
      </c>
      <c r="Y46" s="25">
        <f>+'Livestock in possession'!AD45/1000</f>
        <v>3670.3119110287839</v>
      </c>
      <c r="Z46" s="40">
        <f>+('Meat supplied to the Company'!Q45*0.2+'Meat supplied to the Company'!R45*0.8)</f>
        <v>7.482142857142858E-2</v>
      </c>
      <c r="AA46" s="25">
        <f t="shared" si="6"/>
        <v>274.61798048590367</v>
      </c>
      <c r="AB46" s="25"/>
      <c r="AC46" s="25">
        <f t="shared" si="7"/>
        <v>274.61798048590367</v>
      </c>
      <c r="AD46" s="25"/>
      <c r="AE46" s="24">
        <f>+'Exports in money value'!J48</f>
        <v>8</v>
      </c>
      <c r="AF46" s="25">
        <f t="shared" si="8"/>
        <v>282.43083842259119</v>
      </c>
      <c r="AG46" s="41">
        <v>62.931378865979248</v>
      </c>
      <c r="AH46" s="25">
        <f t="shared" si="9"/>
        <v>269.39689566845158</v>
      </c>
      <c r="AI46" s="25">
        <v>182.15341305005066</v>
      </c>
      <c r="AJ46" s="25">
        <f t="shared" si="10"/>
        <v>1008.5991276269971</v>
      </c>
      <c r="AK46" s="24">
        <f t="shared" si="11"/>
        <v>0.27227663891799803</v>
      </c>
      <c r="AL46" s="24">
        <f t="shared" si="12"/>
        <v>0.28002288588835716</v>
      </c>
      <c r="AM46" s="24">
        <f t="shared" si="13"/>
        <v>0.26710006809373393</v>
      </c>
      <c r="AN46" s="25">
        <f>1000*AJ46/(Population!V46*0.596+Population!W46)</f>
        <v>136.95780492699768</v>
      </c>
      <c r="AO46" s="25"/>
      <c r="AP46" s="25">
        <f t="shared" si="14"/>
        <v>100</v>
      </c>
      <c r="AQ46" s="25">
        <f t="shared" si="15"/>
        <v>79.766981419433449</v>
      </c>
      <c r="AR46" s="25">
        <f t="shared" si="16"/>
        <v>107.39143151190999</v>
      </c>
      <c r="AS46" s="25">
        <f t="shared" si="17"/>
        <v>96.147523879403025</v>
      </c>
      <c r="AT46" s="25">
        <f t="shared" si="18"/>
        <v>142.44548315022925</v>
      </c>
      <c r="AU46">
        <f>+A46</f>
        <v>1743</v>
      </c>
    </row>
    <row r="47" spans="1:47" x14ac:dyDescent="0.2">
      <c r="A47">
        <v>1744</v>
      </c>
      <c r="B47">
        <v>2840000</v>
      </c>
      <c r="C47" s="25">
        <v>2188</v>
      </c>
      <c r="D47" s="25"/>
      <c r="E47" s="25">
        <f>+C47*0.8</f>
        <v>1750.4</v>
      </c>
      <c r="F47" s="24">
        <f>+E47/(Population!AE47+Population!AG47)</f>
        <v>0.39545656600152701</v>
      </c>
      <c r="G47" s="25">
        <f>+C47+(Population!V47-Population!AE47)*0.3</f>
        <v>4528.1395984181872</v>
      </c>
      <c r="H47" s="25">
        <v>2864</v>
      </c>
      <c r="I47" s="25">
        <v>19675</v>
      </c>
      <c r="J47" s="25">
        <v>179.5</v>
      </c>
      <c r="K47" s="25">
        <v>2651</v>
      </c>
      <c r="L47" s="25">
        <v>74</v>
      </c>
      <c r="M47">
        <v>642</v>
      </c>
      <c r="N47" s="25">
        <f t="shared" si="0"/>
        <v>22968</v>
      </c>
      <c r="O47" s="25">
        <f t="shared" si="1"/>
        <v>22968</v>
      </c>
      <c r="P47" s="25">
        <f t="shared" si="2"/>
        <v>29858.400000000001</v>
      </c>
      <c r="Q47" s="25">
        <f>2.5*Population!U47+1.25*(Population!V47-Population!U47)</f>
        <v>25085.342485214249</v>
      </c>
      <c r="R47">
        <v>5828</v>
      </c>
      <c r="S47" s="33">
        <f t="shared" si="3"/>
        <v>3240</v>
      </c>
      <c r="T47">
        <f>+A47</f>
        <v>1744</v>
      </c>
      <c r="U47" s="25">
        <f t="shared" si="4"/>
        <v>34153.342485214249</v>
      </c>
      <c r="V47" s="25">
        <f t="shared" si="5"/>
        <v>29858.400000000001</v>
      </c>
      <c r="W47">
        <v>1.3</v>
      </c>
      <c r="X47">
        <v>81</v>
      </c>
      <c r="Y47" s="25">
        <f>+'Livestock in possession'!AD46/1000</f>
        <v>3716.3588659960419</v>
      </c>
      <c r="Z47" s="40">
        <f>+('Meat supplied to the Company'!Q46*0.2+'Meat supplied to the Company'!R46*0.8)</f>
        <v>7.482142857142858E-2</v>
      </c>
      <c r="AA47" s="25">
        <f t="shared" si="6"/>
        <v>278.0632794379182</v>
      </c>
      <c r="AB47" s="25"/>
      <c r="AC47" s="25">
        <f t="shared" si="7"/>
        <v>278.0632794379182</v>
      </c>
      <c r="AD47" s="25"/>
      <c r="AE47" s="24">
        <f>+'Exports in money value'!J49</f>
        <v>6.4</v>
      </c>
      <c r="AF47" s="25">
        <f t="shared" si="8"/>
        <v>204.83757595268563</v>
      </c>
      <c r="AG47" s="41">
        <v>62.319587628865875</v>
      </c>
      <c r="AH47" s="25">
        <f t="shared" si="9"/>
        <v>282.19179249935974</v>
      </c>
      <c r="AI47" s="25">
        <v>76.603629215747404</v>
      </c>
      <c r="AJ47" s="25">
        <f t="shared" si="10"/>
        <v>841.69627710571092</v>
      </c>
      <c r="AK47" s="24">
        <f t="shared" si="11"/>
        <v>0.33036059087023323</v>
      </c>
      <c r="AL47" s="24">
        <f t="shared" si="12"/>
        <v>0.24336281569053383</v>
      </c>
      <c r="AM47" s="24">
        <f t="shared" si="13"/>
        <v>0.3352655823424992</v>
      </c>
      <c r="AN47" s="25">
        <f>1000*AJ47/(Population!V47*0.596+Population!W47)</f>
        <v>113.1563656545176</v>
      </c>
      <c r="AO47" s="25"/>
      <c r="AP47" s="25">
        <f t="shared" si="14"/>
        <v>80</v>
      </c>
      <c r="AQ47" s="25">
        <f t="shared" si="15"/>
        <v>79.766981419433449</v>
      </c>
      <c r="AR47" s="25">
        <f t="shared" si="16"/>
        <v>106.34741916188716</v>
      </c>
      <c r="AS47" s="25">
        <f t="shared" si="17"/>
        <v>87.834320174396183</v>
      </c>
      <c r="AT47" s="25">
        <f t="shared" si="18"/>
        <v>128.82932938951899</v>
      </c>
      <c r="AU47">
        <f>+A47</f>
        <v>1744</v>
      </c>
    </row>
    <row r="48" spans="1:47" x14ac:dyDescent="0.2">
      <c r="A48">
        <v>1745</v>
      </c>
      <c r="B48">
        <v>3033500</v>
      </c>
      <c r="C48" s="25">
        <v>2070.5</v>
      </c>
      <c r="D48" s="25"/>
      <c r="E48" s="25">
        <f>+C48*0.8</f>
        <v>1656.4</v>
      </c>
      <c r="F48" s="24">
        <f>+E48/(Population!AE48+Population!AG48)</f>
        <v>0.3696946874954532</v>
      </c>
      <c r="G48" s="25">
        <f>+C48+(Population!V48-Population!AE48)*0.3</f>
        <v>4461.0232966947924</v>
      </c>
      <c r="H48" s="25">
        <v>3276</v>
      </c>
      <c r="I48" s="25">
        <v>27438</v>
      </c>
      <c r="J48" s="25">
        <v>211</v>
      </c>
      <c r="K48" s="25">
        <v>3299</v>
      </c>
      <c r="L48" s="25">
        <v>157.5</v>
      </c>
      <c r="M48">
        <v>1175</v>
      </c>
      <c r="N48" s="25">
        <f t="shared" si="0"/>
        <v>31912</v>
      </c>
      <c r="O48" s="25">
        <f t="shared" si="1"/>
        <v>31912</v>
      </c>
      <c r="P48" s="25">
        <f t="shared" si="2"/>
        <v>41485.599999999999</v>
      </c>
      <c r="Q48" s="25">
        <f>2.5*Population!U48+1.25*(Population!V48-Population!U48)</f>
        <v>25582.546302069692</v>
      </c>
      <c r="R48">
        <v>10064</v>
      </c>
      <c r="S48" s="33">
        <f t="shared" si="3"/>
        <v>2840</v>
      </c>
      <c r="T48">
        <f>+A48</f>
        <v>1745</v>
      </c>
      <c r="U48" s="25">
        <f t="shared" si="4"/>
        <v>38486.546302069692</v>
      </c>
      <c r="V48" s="25">
        <f t="shared" si="5"/>
        <v>41485.599999999999</v>
      </c>
      <c r="W48">
        <v>1.3</v>
      </c>
      <c r="X48">
        <v>71</v>
      </c>
      <c r="Y48" s="25">
        <f>+'Livestock in possession'!AD47/1000</f>
        <v>3725.9373908299381</v>
      </c>
      <c r="Z48" s="40">
        <f>+('Meat supplied to the Company'!Q47*0.2+'Meat supplied to the Company'!R47*0.8)</f>
        <v>7.482142857142858E-2</v>
      </c>
      <c r="AA48" s="25">
        <f t="shared" si="6"/>
        <v>278.77995834959717</v>
      </c>
      <c r="AB48" s="25"/>
      <c r="AC48" s="25">
        <f t="shared" si="7"/>
        <v>278.77995834959717</v>
      </c>
      <c r="AD48" s="25"/>
      <c r="AE48" s="24">
        <f>+'Exports in money value'!J50</f>
        <v>5.6000000000000005</v>
      </c>
      <c r="AF48" s="25">
        <f t="shared" si="8"/>
        <v>223.92200964579513</v>
      </c>
      <c r="AG48" s="41">
        <v>59.523195876288746</v>
      </c>
      <c r="AH48" s="25">
        <f t="shared" si="9"/>
        <v>265.53436349785147</v>
      </c>
      <c r="AI48" s="25">
        <v>30.483070845710191</v>
      </c>
      <c r="AJ48" s="25">
        <f t="shared" si="10"/>
        <v>798.71940233895407</v>
      </c>
      <c r="AK48" s="24">
        <f t="shared" si="11"/>
        <v>0.34903366255185919</v>
      </c>
      <c r="AL48" s="24">
        <f t="shared" si="12"/>
        <v>0.28035128355473315</v>
      </c>
      <c r="AM48" s="24">
        <f t="shared" si="13"/>
        <v>0.33245012293461995</v>
      </c>
      <c r="AN48" s="25">
        <f>1000*AJ48/(Population!V48*0.596+Population!W48)</f>
        <v>105.60063273303626</v>
      </c>
      <c r="AO48" s="25"/>
      <c r="AP48" s="25">
        <f t="shared" si="14"/>
        <v>70</v>
      </c>
      <c r="AQ48" s="25">
        <f t="shared" si="15"/>
        <v>79.766981419433449</v>
      </c>
      <c r="AR48" s="25">
        <f t="shared" si="16"/>
        <v>101.57541958411049</v>
      </c>
      <c r="AS48" s="25">
        <f t="shared" si="17"/>
        <v>82.402720301063184</v>
      </c>
      <c r="AT48" s="25">
        <f t="shared" si="18"/>
        <v>128.15187696136502</v>
      </c>
      <c r="AU48">
        <f>+A48</f>
        <v>1745</v>
      </c>
    </row>
    <row r="49" spans="1:47" x14ac:dyDescent="0.2">
      <c r="A49">
        <v>1746</v>
      </c>
      <c r="B49">
        <v>3150000</v>
      </c>
      <c r="C49" s="25">
        <v>2086.5</v>
      </c>
      <c r="D49" s="25"/>
      <c r="E49" s="25">
        <f>+C49*0.8</f>
        <v>1669.2</v>
      </c>
      <c r="F49" s="24">
        <f>+E49/(Population!AE49+Population!AG49)</f>
        <v>0.36774876532966172</v>
      </c>
      <c r="G49" s="25">
        <f>+C49+(Population!V49-Population!AE49)*0.3</f>
        <v>4513.6442958822072</v>
      </c>
      <c r="H49" s="25">
        <v>2939.5</v>
      </c>
      <c r="I49" s="25">
        <v>23670</v>
      </c>
      <c r="J49" s="25">
        <v>157.5</v>
      </c>
      <c r="K49" s="25">
        <v>2149</v>
      </c>
      <c r="L49" s="25">
        <v>96</v>
      </c>
      <c r="M49">
        <v>1026</v>
      </c>
      <c r="N49" s="25">
        <f t="shared" si="0"/>
        <v>26845</v>
      </c>
      <c r="O49" s="25">
        <f t="shared" si="1"/>
        <v>26845</v>
      </c>
      <c r="P49" s="25">
        <f t="shared" si="2"/>
        <v>34898.5</v>
      </c>
      <c r="Q49" s="25">
        <f>2.5*Population!U49+1.25*(Population!V49-Population!U49)</f>
        <v>25871.730420580367</v>
      </c>
      <c r="R49">
        <v>17483</v>
      </c>
      <c r="S49" s="33">
        <f t="shared" si="3"/>
        <v>2560</v>
      </c>
      <c r="T49">
        <f>+A49</f>
        <v>1746</v>
      </c>
      <c r="U49" s="25">
        <f t="shared" si="4"/>
        <v>45914.730420580367</v>
      </c>
      <c r="V49" s="25">
        <f t="shared" si="5"/>
        <v>34898.5</v>
      </c>
      <c r="W49">
        <v>1.3</v>
      </c>
      <c r="X49">
        <v>64</v>
      </c>
      <c r="Y49" s="25">
        <f>+'Livestock in possession'!AD48/1000</f>
        <v>3777.1230899955385</v>
      </c>
      <c r="Z49" s="40">
        <f>+('Meat supplied to the Company'!Q48*0.2+'Meat supplied to the Company'!R48*0.8)</f>
        <v>7.482142857142858E-2</v>
      </c>
      <c r="AA49" s="25">
        <f t="shared" si="6"/>
        <v>282.60974548359479</v>
      </c>
      <c r="AB49" s="25"/>
      <c r="AC49" s="25">
        <f t="shared" si="7"/>
        <v>282.60974548359479</v>
      </c>
      <c r="AD49" s="25"/>
      <c r="AE49" s="24">
        <f>+'Exports in money value'!J51</f>
        <v>6.4</v>
      </c>
      <c r="AF49" s="25">
        <f t="shared" si="8"/>
        <v>258.60233734585717</v>
      </c>
      <c r="AG49" s="41">
        <v>71.9072164948455</v>
      </c>
      <c r="AH49" s="25">
        <f t="shared" si="9"/>
        <v>324.56359756472636</v>
      </c>
      <c r="AI49" s="25">
        <v>61.779782426150454</v>
      </c>
      <c r="AJ49" s="25">
        <f t="shared" si="10"/>
        <v>927.55546282032867</v>
      </c>
      <c r="AK49" s="24">
        <f t="shared" si="11"/>
        <v>0.30468231476346497</v>
      </c>
      <c r="AL49" s="24">
        <f t="shared" si="12"/>
        <v>0.27879986449494881</v>
      </c>
      <c r="AM49" s="24">
        <f t="shared" si="13"/>
        <v>0.34991287375728136</v>
      </c>
      <c r="AN49" s="25">
        <f>1000*AJ49/(Population!V49*0.596+Population!W49)</f>
        <v>121.12945850789535</v>
      </c>
      <c r="AO49" s="25"/>
      <c r="AP49" s="25">
        <f t="shared" si="14"/>
        <v>80</v>
      </c>
      <c r="AQ49" s="25">
        <f t="shared" si="15"/>
        <v>79.766981419433449</v>
      </c>
      <c r="AR49" s="25">
        <f t="shared" si="16"/>
        <v>122.7085605714087</v>
      </c>
      <c r="AS49" s="25">
        <f t="shared" si="17"/>
        <v>92.742662597252632</v>
      </c>
      <c r="AT49" s="25">
        <f t="shared" si="18"/>
        <v>130.60813126954974</v>
      </c>
      <c r="AU49">
        <f>+A49</f>
        <v>1746</v>
      </c>
    </row>
    <row r="50" spans="1:47" x14ac:dyDescent="0.2">
      <c r="A50">
        <v>1747</v>
      </c>
      <c r="B50">
        <v>3317000</v>
      </c>
      <c r="C50" s="25">
        <v>2909.5</v>
      </c>
      <c r="D50" s="25"/>
      <c r="E50" s="25">
        <f>+C50*0.8</f>
        <v>2327.6</v>
      </c>
      <c r="F50" s="24">
        <f>+E50/(Population!AE50+Population!AG50)</f>
        <v>0.49465159084873411</v>
      </c>
      <c r="G50" s="25">
        <f>+C50+(Population!V50-Population!AE50)*0.3</f>
        <v>5396.0206619249075</v>
      </c>
      <c r="H50" s="25">
        <v>2698.5</v>
      </c>
      <c r="I50" s="25">
        <v>19270</v>
      </c>
      <c r="J50" s="25">
        <v>152.5</v>
      </c>
      <c r="K50" s="25">
        <v>1878</v>
      </c>
      <c r="L50" s="25">
        <v>84</v>
      </c>
      <c r="M50">
        <v>1018</v>
      </c>
      <c r="N50" s="25">
        <f t="shared" si="0"/>
        <v>22166</v>
      </c>
      <c r="O50" s="25">
        <f t="shared" si="1"/>
        <v>22166</v>
      </c>
      <c r="P50" s="25">
        <f t="shared" si="2"/>
        <v>28815.8</v>
      </c>
      <c r="Q50" s="25">
        <f>2.5*Population!U50+1.25*(Population!V50-Population!U50)</f>
        <v>26519.866806709593</v>
      </c>
      <c r="R50">
        <v>10508</v>
      </c>
      <c r="S50" s="33">
        <f t="shared" si="3"/>
        <v>2960</v>
      </c>
      <c r="T50">
        <f>+A50</f>
        <v>1747</v>
      </c>
      <c r="U50" s="25">
        <f t="shared" si="4"/>
        <v>39987.866806709593</v>
      </c>
      <c r="V50" s="25">
        <f t="shared" si="5"/>
        <v>28815.8</v>
      </c>
      <c r="W50">
        <v>1.3</v>
      </c>
      <c r="X50">
        <v>74</v>
      </c>
      <c r="Y50" s="25">
        <f>+'Livestock in possession'!AD49/1000</f>
        <v>3749.7424227236143</v>
      </c>
      <c r="Z50" s="40">
        <f>+('Meat supplied to the Company'!Q49*0.2+'Meat supplied to the Company'!R49*0.8)</f>
        <v>0.10892857142857144</v>
      </c>
      <c r="AA50" s="25">
        <f t="shared" si="6"/>
        <v>408.45408533239373</v>
      </c>
      <c r="AB50" s="25"/>
      <c r="AC50" s="25">
        <f t="shared" si="7"/>
        <v>408.45408533239373</v>
      </c>
      <c r="AD50" s="25"/>
      <c r="AE50" s="24">
        <f>+'Exports in money value'!J52</f>
        <v>6.4</v>
      </c>
      <c r="AF50" s="25">
        <f t="shared" si="8"/>
        <v>220.17173378147069</v>
      </c>
      <c r="AG50" s="41">
        <v>48.387564432989628</v>
      </c>
      <c r="AH50" s="25">
        <f t="shared" si="9"/>
        <v>261.10029746063481</v>
      </c>
      <c r="AI50" s="25">
        <v>64.539012129830894</v>
      </c>
      <c r="AJ50" s="25">
        <f t="shared" si="10"/>
        <v>954.2651287043301</v>
      </c>
      <c r="AK50" s="24">
        <f t="shared" si="11"/>
        <v>0.42802998144444332</v>
      </c>
      <c r="AL50" s="24">
        <f t="shared" si="12"/>
        <v>0.2307238598149475</v>
      </c>
      <c r="AM50" s="24">
        <f t="shared" si="13"/>
        <v>0.27361399846513118</v>
      </c>
      <c r="AN50" s="25">
        <f>1000*AJ50/(Population!V50*0.596+Population!W50)</f>
        <v>121.47730238180544</v>
      </c>
      <c r="AO50" s="25"/>
      <c r="AP50" s="25">
        <f t="shared" si="14"/>
        <v>80</v>
      </c>
      <c r="AQ50" s="25">
        <f t="shared" si="15"/>
        <v>116.12854096862628</v>
      </c>
      <c r="AR50" s="25">
        <f t="shared" si="16"/>
        <v>82.572635551176845</v>
      </c>
      <c r="AS50" s="25">
        <f t="shared" si="17"/>
        <v>91.610352955940925</v>
      </c>
      <c r="AT50" s="25">
        <f t="shared" si="18"/>
        <v>132.60215517369389</v>
      </c>
      <c r="AU50">
        <f>+A50</f>
        <v>1747</v>
      </c>
    </row>
    <row r="51" spans="1:47" x14ac:dyDescent="0.2">
      <c r="A51">
        <v>1748</v>
      </c>
      <c r="B51">
        <v>3224500</v>
      </c>
      <c r="C51" s="25">
        <v>2347.5</v>
      </c>
      <c r="D51" s="25">
        <f>+'Exports of wines'!C3</f>
        <v>533.33333333333337</v>
      </c>
      <c r="E51" s="25">
        <f>+C51-D51</f>
        <v>1814.1666666666665</v>
      </c>
      <c r="F51" s="24">
        <f>+E51/(Population!AE51+Population!AG51)</f>
        <v>0.36302782392792354</v>
      </c>
      <c r="G51" s="25">
        <f>+C51+(Population!V51-Population!AE51)*0.3</f>
        <v>4876.9485150971523</v>
      </c>
      <c r="H51" s="25">
        <v>2624</v>
      </c>
      <c r="I51" s="25">
        <v>19767</v>
      </c>
      <c r="J51" s="25">
        <v>171</v>
      </c>
      <c r="K51" s="25">
        <v>2647</v>
      </c>
      <c r="L51" s="25">
        <v>70.5</v>
      </c>
      <c r="M51">
        <v>828</v>
      </c>
      <c r="N51" s="25">
        <f t="shared" si="0"/>
        <v>23242</v>
      </c>
      <c r="O51" s="25">
        <f t="shared" si="1"/>
        <v>23242</v>
      </c>
      <c r="P51" s="25">
        <f t="shared" si="2"/>
        <v>30214.600000000002</v>
      </c>
      <c r="Q51" s="25">
        <f>2.5*Population!U51+1.25*(Population!V51-Population!U51)</f>
        <v>27051.128266118296</v>
      </c>
      <c r="R51">
        <v>6438</v>
      </c>
      <c r="S51" s="33">
        <f t="shared" si="3"/>
        <v>3360</v>
      </c>
      <c r="T51">
        <f>+A51</f>
        <v>1748</v>
      </c>
      <c r="U51" s="25">
        <f t="shared" si="4"/>
        <v>36849.128266118292</v>
      </c>
      <c r="V51" s="25">
        <f t="shared" si="5"/>
        <v>30214.600000000002</v>
      </c>
      <c r="W51">
        <v>1.3</v>
      </c>
      <c r="X51">
        <v>84</v>
      </c>
      <c r="Y51" s="25">
        <f>+'Livestock in possession'!AD50/1000</f>
        <v>3885.1744079967407</v>
      </c>
      <c r="Z51" s="40">
        <f>+('Meat supplied to the Company'!Q50*0.2+'Meat supplied to the Company'!R50*0.8)</f>
        <v>9.4464285714285723E-2</v>
      </c>
      <c r="AA51" s="25">
        <f t="shared" si="6"/>
        <v>367.01022532683498</v>
      </c>
      <c r="AB51" s="25"/>
      <c r="AC51" s="25">
        <f t="shared" si="7"/>
        <v>367.01022532683498</v>
      </c>
      <c r="AD51" s="25"/>
      <c r="AE51" s="24">
        <f>+'Exports in money value'!J53</f>
        <v>6.4</v>
      </c>
      <c r="AF51" s="25">
        <f t="shared" si="8"/>
        <v>214.60393045157858</v>
      </c>
      <c r="AG51" s="41">
        <v>61.710000000000015</v>
      </c>
      <c r="AH51" s="25">
        <f t="shared" si="9"/>
        <v>300.95649286664536</v>
      </c>
      <c r="AI51" s="25">
        <v>7.9122316764679859</v>
      </c>
      <c r="AJ51" s="25">
        <f t="shared" si="10"/>
        <v>890.48288032152686</v>
      </c>
      <c r="AK51" s="24">
        <f t="shared" si="11"/>
        <v>0.41214742409682092</v>
      </c>
      <c r="AL51" s="24">
        <f t="shared" si="12"/>
        <v>0.2409972557519483</v>
      </c>
      <c r="AM51" s="24">
        <f t="shared" si="13"/>
        <v>0.33796999304240294</v>
      </c>
      <c r="AN51" s="25">
        <f>1000*AJ51/(Population!V51*0.596+Population!W51)</f>
        <v>111.17105468234503</v>
      </c>
      <c r="AO51" s="25"/>
      <c r="AP51" s="25">
        <f t="shared" si="14"/>
        <v>80</v>
      </c>
      <c r="AQ51" s="25">
        <f t="shared" si="15"/>
        <v>100.70819372525132</v>
      </c>
      <c r="AR51" s="25">
        <f t="shared" si="16"/>
        <v>105.30716723549492</v>
      </c>
      <c r="AS51" s="25">
        <f t="shared" si="17"/>
        <v>93.804608288223875</v>
      </c>
      <c r="AT51" s="25">
        <f t="shared" si="18"/>
        <v>118.51342563124517</v>
      </c>
      <c r="AU51">
        <f>+A51</f>
        <v>1748</v>
      </c>
    </row>
    <row r="52" spans="1:47" x14ac:dyDescent="0.2">
      <c r="A52">
        <v>1749</v>
      </c>
      <c r="B52">
        <v>3486700</v>
      </c>
      <c r="C52" s="25">
        <v>2132.5</v>
      </c>
      <c r="D52" s="25">
        <f>+'Exports of wines'!C4</f>
        <v>435.2</v>
      </c>
      <c r="E52" s="25">
        <f>+C52-D52</f>
        <v>1697.3</v>
      </c>
      <c r="F52" s="24">
        <f>+E52/(Population!AE52+Population!AG52)</f>
        <v>0.35752472184791778</v>
      </c>
      <c r="G52" s="25">
        <f>+C52+(Population!V52-Population!AE52)*0.3</f>
        <v>4659.748565567641</v>
      </c>
      <c r="H52" s="25">
        <v>2577.5</v>
      </c>
      <c r="I52" s="25">
        <v>13271</v>
      </c>
      <c r="J52" s="25">
        <v>253.5</v>
      </c>
      <c r="K52" s="25">
        <v>2887</v>
      </c>
      <c r="L52" s="25">
        <v>79</v>
      </c>
      <c r="M52">
        <v>521</v>
      </c>
      <c r="N52" s="25">
        <f t="shared" si="0"/>
        <v>16679</v>
      </c>
      <c r="O52" s="25">
        <f t="shared" si="1"/>
        <v>16679</v>
      </c>
      <c r="P52" s="25">
        <f t="shared" si="2"/>
        <v>26686.400000000001</v>
      </c>
      <c r="Q52" s="25">
        <f>2.5*Population!U52+1.25*(Population!V52-Population!U52)</f>
        <v>27105.728749811984</v>
      </c>
      <c r="R52">
        <v>2441</v>
      </c>
      <c r="S52" s="33">
        <f t="shared" si="3"/>
        <v>3000</v>
      </c>
      <c r="T52">
        <f>+A52</f>
        <v>1749</v>
      </c>
      <c r="U52" s="25">
        <f t="shared" si="4"/>
        <v>32546.728749811984</v>
      </c>
      <c r="V52" s="25">
        <f t="shared" si="5"/>
        <v>26686.400000000001</v>
      </c>
      <c r="W52">
        <v>1.6</v>
      </c>
      <c r="X52">
        <v>75</v>
      </c>
      <c r="Y52" s="25">
        <f>+'Livestock in possession'!AD51/1000</f>
        <v>3917.5487391088122</v>
      </c>
      <c r="Z52" s="40">
        <f>+('Meat supplied to the Company'!Q51*0.2+'Meat supplied to the Company'!R51*0.8)</f>
        <v>0.10517857142857144</v>
      </c>
      <c r="AA52" s="25">
        <f t="shared" si="6"/>
        <v>412.04217988126618</v>
      </c>
      <c r="AB52" s="25"/>
      <c r="AC52" s="25">
        <f t="shared" si="7"/>
        <v>412.04217988126618</v>
      </c>
      <c r="AD52" s="25"/>
      <c r="AE52" s="24">
        <f>+'Exports in money value'!J54</f>
        <v>6.4</v>
      </c>
      <c r="AF52" s="25">
        <f t="shared" si="8"/>
        <v>189.54601199939836</v>
      </c>
      <c r="AG52" s="41">
        <v>59.606250000000003</v>
      </c>
      <c r="AH52" s="25">
        <f t="shared" si="9"/>
        <v>277.75013793636617</v>
      </c>
      <c r="AI52" s="25">
        <v>150.25438715845812</v>
      </c>
      <c r="AJ52" s="25">
        <f t="shared" si="10"/>
        <v>1029.5927169754889</v>
      </c>
      <c r="AK52" s="24">
        <f t="shared" si="11"/>
        <v>0.40019919827295702</v>
      </c>
      <c r="AL52" s="24">
        <f t="shared" si="12"/>
        <v>0.18409805049535019</v>
      </c>
      <c r="AM52" s="24">
        <f t="shared" si="13"/>
        <v>0.26976699947167404</v>
      </c>
      <c r="AN52" s="25">
        <f>1000*AJ52/(Population!V52*0.596+Population!W52)</f>
        <v>127.24619436097576</v>
      </c>
      <c r="AO52" s="25"/>
      <c r="AP52" s="25">
        <f t="shared" si="14"/>
        <v>80</v>
      </c>
      <c r="AQ52" s="25">
        <f t="shared" si="15"/>
        <v>112.13067316478832</v>
      </c>
      <c r="AR52" s="25">
        <f t="shared" si="16"/>
        <v>101.71715017064847</v>
      </c>
      <c r="AS52" s="25">
        <f t="shared" si="17"/>
        <v>96.154347000631034</v>
      </c>
      <c r="AT52" s="25">
        <f t="shared" si="18"/>
        <v>132.33535282616052</v>
      </c>
      <c r="AU52">
        <f>+A52</f>
        <v>1749</v>
      </c>
    </row>
    <row r="53" spans="1:47" x14ac:dyDescent="0.2">
      <c r="A53">
        <v>1750</v>
      </c>
      <c r="B53">
        <v>3958000</v>
      </c>
      <c r="C53" s="25">
        <v>4316</v>
      </c>
      <c r="D53" s="25">
        <f>+'Exports of wines'!C5</f>
        <v>260.26666666666665</v>
      </c>
      <c r="E53" s="25">
        <f>+C53-D53</f>
        <v>4055.7333333333336</v>
      </c>
      <c r="F53" s="24">
        <f>+E53/(Population!AE53+Population!AG53)</f>
        <v>0.80736953881585694</v>
      </c>
      <c r="G53" s="25">
        <f>+C53+(Population!V53-Population!AE53)*0.3</f>
        <v>6992.3763767491328</v>
      </c>
      <c r="H53" s="25">
        <v>2356</v>
      </c>
      <c r="I53" s="25">
        <v>12116</v>
      </c>
      <c r="J53" s="25">
        <v>228.5</v>
      </c>
      <c r="K53" s="25">
        <v>2518</v>
      </c>
      <c r="L53" s="25">
        <v>90</v>
      </c>
      <c r="M53">
        <v>788</v>
      </c>
      <c r="N53" s="25">
        <f t="shared" si="0"/>
        <v>15422</v>
      </c>
      <c r="O53" s="25">
        <f t="shared" si="1"/>
        <v>15422</v>
      </c>
      <c r="P53" s="25">
        <f t="shared" si="2"/>
        <v>24675.200000000001</v>
      </c>
      <c r="Q53" s="25">
        <f>2.5*Population!U53+1.25*(Population!V53-Population!U53)</f>
        <v>28681.846193157027</v>
      </c>
      <c r="R53">
        <v>4732</v>
      </c>
      <c r="S53" s="33">
        <f t="shared" si="3"/>
        <v>3240</v>
      </c>
      <c r="T53">
        <f>+A53</f>
        <v>1750</v>
      </c>
      <c r="U53" s="25">
        <f t="shared" si="4"/>
        <v>36653.846193157027</v>
      </c>
      <c r="V53" s="25">
        <f t="shared" si="5"/>
        <v>24675.200000000001</v>
      </c>
      <c r="W53">
        <v>1.6</v>
      </c>
      <c r="X53">
        <v>81</v>
      </c>
      <c r="Y53" s="25">
        <f>+'Livestock in possession'!AD52/1000</f>
        <v>4168.7518476080122</v>
      </c>
      <c r="Z53" s="40">
        <f>+('Meat supplied to the Company'!Q52*0.2+'Meat supplied to the Company'!R52*0.8)</f>
        <v>0.10517857142857144</v>
      </c>
      <c r="AA53" s="25">
        <f t="shared" si="6"/>
        <v>438.4633639716285</v>
      </c>
      <c r="AB53" s="25"/>
      <c r="AC53" s="25">
        <f t="shared" si="7"/>
        <v>438.4633639716285</v>
      </c>
      <c r="AD53" s="25"/>
      <c r="AE53" s="24">
        <f>+'Exports in money value'!J55</f>
        <v>6.4</v>
      </c>
      <c r="AF53" s="25">
        <f t="shared" si="8"/>
        <v>196.25294781810251</v>
      </c>
      <c r="AG53" s="41">
        <v>59.606250000000003</v>
      </c>
      <c r="AH53" s="25">
        <f t="shared" si="9"/>
        <v>416.78933440660302</v>
      </c>
      <c r="AI53" s="25">
        <v>223.00066916276759</v>
      </c>
      <c r="AJ53" s="25">
        <f t="shared" si="10"/>
        <v>1274.5063153591016</v>
      </c>
      <c r="AK53" s="24">
        <f t="shared" si="11"/>
        <v>0.34402604262348296</v>
      </c>
      <c r="AL53" s="24">
        <f t="shared" si="12"/>
        <v>0.15398350361473634</v>
      </c>
      <c r="AM53" s="24">
        <f t="shared" si="13"/>
        <v>0.32702021903215878</v>
      </c>
      <c r="AN53" s="25">
        <f>1000*AJ53/(Population!V53*0.596+Population!W53)</f>
        <v>148.63131352696388</v>
      </c>
      <c r="AO53" s="25"/>
      <c r="AP53" s="25">
        <f t="shared" si="14"/>
        <v>80</v>
      </c>
      <c r="AQ53" s="25">
        <f t="shared" si="15"/>
        <v>112.13067316478832</v>
      </c>
      <c r="AR53" s="25">
        <f t="shared" si="16"/>
        <v>101.71715017064847</v>
      </c>
      <c r="AS53" s="25">
        <f t="shared" si="17"/>
        <v>96.154347000631034</v>
      </c>
      <c r="AT53" s="25">
        <f t="shared" si="18"/>
        <v>154.57576091280455</v>
      </c>
      <c r="AU53">
        <f>+A53</f>
        <v>1750</v>
      </c>
    </row>
    <row r="54" spans="1:47" x14ac:dyDescent="0.2">
      <c r="A54">
        <v>1751</v>
      </c>
      <c r="B54">
        <v>3847000</v>
      </c>
      <c r="C54" s="25">
        <v>2970.5</v>
      </c>
      <c r="D54" s="25">
        <f>+'Exports of wines'!C6</f>
        <v>695.4666666666667</v>
      </c>
      <c r="E54" s="25">
        <f>+C54-D54</f>
        <v>2275.0333333333333</v>
      </c>
      <c r="F54" s="24">
        <f>+E54/(Population!AE54+Population!AG54)</f>
        <v>0.45014847862256457</v>
      </c>
      <c r="G54" s="25">
        <f>+C54+(Population!V54-Population!AE54)*0.3</f>
        <v>5694.9480550831049</v>
      </c>
      <c r="H54" s="25">
        <v>2434</v>
      </c>
      <c r="I54" s="25">
        <v>17127</v>
      </c>
      <c r="J54" s="25">
        <v>287.5</v>
      </c>
      <c r="K54" s="25">
        <v>4351</v>
      </c>
      <c r="L54" s="25">
        <v>104</v>
      </c>
      <c r="M54">
        <v>1225</v>
      </c>
      <c r="N54" s="25">
        <f t="shared" si="0"/>
        <v>22703</v>
      </c>
      <c r="O54" s="25">
        <f t="shared" si="1"/>
        <v>22703</v>
      </c>
      <c r="P54" s="25">
        <f t="shared" si="2"/>
        <v>36324.800000000003</v>
      </c>
      <c r="Q54" s="25">
        <f>2.5*Population!U54+1.25*(Population!V54-Population!U54)</f>
        <v>29344.527426722158</v>
      </c>
      <c r="R54">
        <v>10035</v>
      </c>
      <c r="S54" s="33">
        <f t="shared" si="3"/>
        <v>2600</v>
      </c>
      <c r="T54">
        <f>+A54</f>
        <v>1751</v>
      </c>
      <c r="U54" s="25">
        <f t="shared" si="4"/>
        <v>41979.527426722154</v>
      </c>
      <c r="V54" s="25">
        <f t="shared" si="5"/>
        <v>36324.800000000003</v>
      </c>
      <c r="W54">
        <v>1.6</v>
      </c>
      <c r="X54">
        <v>65</v>
      </c>
      <c r="Y54" s="25">
        <f>+'Livestock in possession'!AD53/1000</f>
        <v>4082.7176219600983</v>
      </c>
      <c r="Z54" s="40">
        <f>+('Meat supplied to the Company'!Q53*0.2+'Meat supplied to the Company'!R53*0.8)</f>
        <v>0.10517857142857144</v>
      </c>
      <c r="AA54" s="25">
        <f t="shared" si="6"/>
        <v>429.41440702401752</v>
      </c>
      <c r="AB54" s="25"/>
      <c r="AC54" s="25">
        <f t="shared" si="7"/>
        <v>429.41440702401752</v>
      </c>
      <c r="AD54" s="25"/>
      <c r="AE54" s="24">
        <f>+'Exports in money value'!J56</f>
        <v>6.4</v>
      </c>
      <c r="AF54" s="25">
        <f t="shared" si="8"/>
        <v>250.57384776551089</v>
      </c>
      <c r="AG54" s="41">
        <v>59.606250000000003</v>
      </c>
      <c r="AH54" s="25">
        <f t="shared" si="9"/>
        <v>339.45449750829732</v>
      </c>
      <c r="AI54" s="25">
        <v>255.79732901676516</v>
      </c>
      <c r="AJ54" s="25">
        <f t="shared" si="10"/>
        <v>1275.240081314591</v>
      </c>
      <c r="AK54" s="24">
        <f t="shared" si="11"/>
        <v>0.33673220699066519</v>
      </c>
      <c r="AL54" s="24">
        <f t="shared" si="12"/>
        <v>0.19649150888294298</v>
      </c>
      <c r="AM54" s="24">
        <f t="shared" si="13"/>
        <v>0.26618869849069365</v>
      </c>
      <c r="AN54" s="25">
        <f>1000*AJ54/(Population!V54*0.596+Population!W54)</f>
        <v>145.71118105419094</v>
      </c>
      <c r="AO54" s="25"/>
      <c r="AP54" s="25">
        <f t="shared" si="14"/>
        <v>80</v>
      </c>
      <c r="AQ54" s="25">
        <f t="shared" si="15"/>
        <v>112.13067316478832</v>
      </c>
      <c r="AR54" s="25">
        <f t="shared" si="16"/>
        <v>101.71715017064847</v>
      </c>
      <c r="AS54" s="25">
        <f t="shared" si="17"/>
        <v>96.154347000631034</v>
      </c>
      <c r="AT54" s="25">
        <f t="shared" si="18"/>
        <v>151.5388389598597</v>
      </c>
      <c r="AU54">
        <f>+A54</f>
        <v>1751</v>
      </c>
    </row>
    <row r="55" spans="1:47" x14ac:dyDescent="0.2">
      <c r="A55">
        <v>1752</v>
      </c>
      <c r="B55">
        <v>3971500</v>
      </c>
      <c r="C55" s="25">
        <v>2050.5</v>
      </c>
      <c r="D55" s="25">
        <f>+'Exports of wines'!C7</f>
        <v>684.8</v>
      </c>
      <c r="E55" s="25">
        <f>+C55-D55</f>
        <v>1365.7</v>
      </c>
      <c r="F55" s="24">
        <f>+E55/(Population!AE55+Population!AG55)</f>
        <v>0.25435653503808386</v>
      </c>
      <c r="G55" s="25">
        <f>+C55+(Population!V55-Population!AE55)*0.3</f>
        <v>4930.9578880941008</v>
      </c>
      <c r="H55" s="69">
        <v>2673</v>
      </c>
      <c r="I55" s="25">
        <v>21221</v>
      </c>
      <c r="J55" s="25">
        <v>293</v>
      </c>
      <c r="K55" s="25">
        <v>4359</v>
      </c>
      <c r="L55" s="25">
        <v>88.5</v>
      </c>
      <c r="M55">
        <v>1047</v>
      </c>
      <c r="N55" s="25">
        <f t="shared" si="0"/>
        <v>26627</v>
      </c>
      <c r="O55" s="25">
        <f t="shared" si="1"/>
        <v>26627</v>
      </c>
      <c r="P55" s="25">
        <f t="shared" si="2"/>
        <v>42603.200000000004</v>
      </c>
      <c r="Q55" s="25">
        <f>2.5*Population!U55+1.25*(Population!V55-Population!U55)</f>
        <v>31128.486996145988</v>
      </c>
      <c r="R55">
        <v>15300</v>
      </c>
      <c r="S55" s="33">
        <f t="shared" si="3"/>
        <v>3120</v>
      </c>
      <c r="T55">
        <f>+A55</f>
        <v>1752</v>
      </c>
      <c r="U55" s="25">
        <f t="shared" si="4"/>
        <v>49548.486996145992</v>
      </c>
      <c r="V55" s="25">
        <f t="shared" si="5"/>
        <v>42603.200000000004</v>
      </c>
      <c r="W55">
        <v>1.6</v>
      </c>
      <c r="X55">
        <v>78</v>
      </c>
      <c r="Y55" s="25">
        <f>+'Livestock in possession'!AD54/1000</f>
        <v>4456.1870461987874</v>
      </c>
      <c r="Z55" s="40">
        <f>+('Meat supplied to the Company'!Q54*0.2+'Meat supplied to the Company'!R54*0.8)</f>
        <v>0.10517857142857144</v>
      </c>
      <c r="AA55" s="25">
        <f t="shared" si="6"/>
        <v>468.69538753769393</v>
      </c>
      <c r="AB55" s="25"/>
      <c r="AC55" s="25">
        <f t="shared" si="7"/>
        <v>468.69538753769393</v>
      </c>
      <c r="AD55" s="25"/>
      <c r="AE55" s="24">
        <f>+'Exports in money value'!J57</f>
        <v>6.4</v>
      </c>
      <c r="AF55" s="25">
        <f t="shared" si="8"/>
        <v>294.88539838766718</v>
      </c>
      <c r="AG55" s="41">
        <v>59.606250000000003</v>
      </c>
      <c r="AH55" s="25">
        <f t="shared" si="9"/>
        <v>293.91590861720903</v>
      </c>
      <c r="AI55" s="25">
        <v>321.36101840161678</v>
      </c>
      <c r="AJ55" s="25">
        <f t="shared" si="10"/>
        <v>1378.8577129441869</v>
      </c>
      <c r="AK55" s="24">
        <f t="shared" si="11"/>
        <v>0.33991570206103322</v>
      </c>
      <c r="AL55" s="24">
        <f t="shared" si="12"/>
        <v>0.21386209441293055</v>
      </c>
      <c r="AM55" s="24">
        <f t="shared" si="13"/>
        <v>0.21315898359782834</v>
      </c>
      <c r="AN55" s="25">
        <f>1000*AJ55/(Population!V55*0.596+Population!W55)</f>
        <v>148.75580261907834</v>
      </c>
      <c r="AO55" s="25"/>
      <c r="AP55" s="25">
        <f t="shared" si="14"/>
        <v>80</v>
      </c>
      <c r="AQ55" s="25">
        <f t="shared" si="15"/>
        <v>112.13067316478832</v>
      </c>
      <c r="AR55" s="25">
        <f t="shared" si="16"/>
        <v>101.71715017064847</v>
      </c>
      <c r="AS55" s="25">
        <f t="shared" si="17"/>
        <v>96.154347000631034</v>
      </c>
      <c r="AT55" s="25">
        <f t="shared" si="18"/>
        <v>154.70522889422992</v>
      </c>
      <c r="AU55">
        <f>+A55</f>
        <v>1752</v>
      </c>
    </row>
    <row r="56" spans="1:47" x14ac:dyDescent="0.2">
      <c r="A56">
        <v>1753</v>
      </c>
      <c r="B56">
        <v>4167500</v>
      </c>
      <c r="C56" s="25">
        <v>1909</v>
      </c>
      <c r="D56" s="25">
        <f>+'Exports of wines'!C8</f>
        <v>270.93333333333334</v>
      </c>
      <c r="E56" s="25">
        <f>+C56-D56</f>
        <v>1638.0666666666666</v>
      </c>
      <c r="F56" s="24">
        <f>+E56/(Population!AE56+Population!AG56)</f>
        <v>0.29132634820500575</v>
      </c>
      <c r="G56" s="25">
        <f>+C56+(Population!V56-Population!AE56)*0.3</f>
        <v>4880.649622865365</v>
      </c>
      <c r="H56" s="25">
        <v>2728.5</v>
      </c>
      <c r="I56" s="25">
        <v>22396</v>
      </c>
      <c r="J56" s="25">
        <v>197.5</v>
      </c>
      <c r="K56" s="25">
        <v>2390</v>
      </c>
      <c r="L56" s="25">
        <v>78.5</v>
      </c>
      <c r="M56">
        <v>493</v>
      </c>
      <c r="N56" s="25">
        <f t="shared" si="0"/>
        <v>25279</v>
      </c>
      <c r="O56" s="25">
        <f t="shared" si="1"/>
        <v>25279</v>
      </c>
      <c r="P56" s="25">
        <f t="shared" si="2"/>
        <v>40446.400000000001</v>
      </c>
      <c r="Q56" s="25">
        <f>2.5*Population!U56+1.25*(Population!V56-Population!U56)</f>
        <v>31961.660423445959</v>
      </c>
      <c r="R56">
        <v>9361</v>
      </c>
      <c r="S56" s="33">
        <f t="shared" si="3"/>
        <v>2920</v>
      </c>
      <c r="T56">
        <f>+A56</f>
        <v>1753</v>
      </c>
      <c r="U56" s="25">
        <f t="shared" si="4"/>
        <v>44242.660423445959</v>
      </c>
      <c r="V56" s="25">
        <f t="shared" si="5"/>
        <v>40446.400000000001</v>
      </c>
      <c r="W56">
        <v>1.6</v>
      </c>
      <c r="X56">
        <v>73</v>
      </c>
      <c r="Y56" s="25">
        <f>+'Livestock in possession'!AD55/1000</f>
        <v>4686.0600518077208</v>
      </c>
      <c r="Z56" s="40">
        <f>+('Meat supplied to the Company'!Q55*0.2+'Meat supplied to the Company'!R55*0.8)</f>
        <v>0.10517857142857144</v>
      </c>
      <c r="AA56" s="25">
        <f t="shared" si="6"/>
        <v>492.87310187763353</v>
      </c>
      <c r="AB56" s="25"/>
      <c r="AC56" s="25">
        <f t="shared" si="7"/>
        <v>492.87310187763353</v>
      </c>
      <c r="AD56" s="25"/>
      <c r="AE56" s="24">
        <f>+'Exports in money value'!J58</f>
        <v>6.3999999999999995</v>
      </c>
      <c r="AF56" s="25">
        <f t="shared" si="8"/>
        <v>271.00499335502707</v>
      </c>
      <c r="AG56" s="41">
        <v>59.607777777777777</v>
      </c>
      <c r="AH56" s="25">
        <f t="shared" si="9"/>
        <v>290.92467813095357</v>
      </c>
      <c r="AI56" s="25">
        <v>309.29973035163312</v>
      </c>
      <c r="AJ56" s="25">
        <f t="shared" si="10"/>
        <v>1364.1025037152472</v>
      </c>
      <c r="AK56" s="24">
        <f t="shared" si="11"/>
        <v>0.36131676361215703</v>
      </c>
      <c r="AL56" s="24">
        <f t="shared" si="12"/>
        <v>0.198669082870915</v>
      </c>
      <c r="AM56" s="24">
        <f t="shared" si="13"/>
        <v>0.2132718599508438</v>
      </c>
      <c r="AN56" s="25">
        <f>1000*AJ56/(Population!V56*0.596+Population!W56)</f>
        <v>142.26962793940578</v>
      </c>
      <c r="AO56" s="25"/>
      <c r="AP56" s="25">
        <f t="shared" si="14"/>
        <v>80</v>
      </c>
      <c r="AQ56" s="25">
        <f t="shared" si="15"/>
        <v>112.13067316478832</v>
      </c>
      <c r="AR56" s="25">
        <f t="shared" si="16"/>
        <v>101.71975729996207</v>
      </c>
      <c r="AS56" s="25">
        <f t="shared" si="17"/>
        <v>96.155129139425114</v>
      </c>
      <c r="AT56" s="25">
        <f t="shared" si="18"/>
        <v>147.95843884013152</v>
      </c>
      <c r="AU56">
        <f>+A56</f>
        <v>1753</v>
      </c>
    </row>
    <row r="57" spans="1:47" x14ac:dyDescent="0.2">
      <c r="A57">
        <v>1754</v>
      </c>
      <c r="B57">
        <v>4148000</v>
      </c>
      <c r="C57" s="25">
        <v>2267.5</v>
      </c>
      <c r="D57" s="25">
        <f>+'Exports of wines'!C9</f>
        <v>517.6</v>
      </c>
      <c r="E57" s="25">
        <f>+C57-D57</f>
        <v>1749.9</v>
      </c>
      <c r="F57" s="24">
        <f>+E57/(Population!AE57+Population!AG57)</f>
        <v>0.31786209560336343</v>
      </c>
      <c r="G57" s="25">
        <f>+C57+(Population!V57-Population!AE57)*0.3</f>
        <v>5313.6440534149351</v>
      </c>
      <c r="H57" s="25">
        <v>2722</v>
      </c>
      <c r="I57" s="25">
        <v>25375</v>
      </c>
      <c r="J57" s="25">
        <v>214</v>
      </c>
      <c r="K57" s="25">
        <v>3332</v>
      </c>
      <c r="L57" s="25">
        <v>65.5</v>
      </c>
      <c r="M57">
        <v>904</v>
      </c>
      <c r="N57" s="25">
        <f t="shared" si="0"/>
        <v>29611</v>
      </c>
      <c r="O57" s="25">
        <f t="shared" si="1"/>
        <v>29611</v>
      </c>
      <c r="P57" s="25">
        <f t="shared" si="2"/>
        <v>56260.899999999994</v>
      </c>
      <c r="Q57" s="25">
        <f>2.5*Population!U57+1.25*(Population!V57-Population!U57)</f>
        <v>32584.550861857722</v>
      </c>
      <c r="R57">
        <v>18401</v>
      </c>
      <c r="S57" s="33">
        <f t="shared" si="3"/>
        <v>2760</v>
      </c>
      <c r="T57">
        <f>+A57</f>
        <v>1754</v>
      </c>
      <c r="U57" s="25">
        <f t="shared" si="4"/>
        <v>53745.550861857722</v>
      </c>
      <c r="V57" s="25">
        <f t="shared" si="5"/>
        <v>56260.899999999994</v>
      </c>
      <c r="W57">
        <v>1.9</v>
      </c>
      <c r="X57">
        <v>69</v>
      </c>
      <c r="Y57" s="25">
        <f>+'Livestock in possession'!AD56/1000</f>
        <v>4703.3860311968392</v>
      </c>
      <c r="Z57" s="40">
        <f>+('Meat supplied to the Company'!Q56*0.2+'Meat supplied to the Company'!R56*0.8)</f>
        <v>7.482142857142858E-2</v>
      </c>
      <c r="AA57" s="25">
        <f t="shared" si="6"/>
        <v>351.91406197704924</v>
      </c>
      <c r="AB57" s="25">
        <f>+'Export of butter'!B3*0.3*0.002</f>
        <v>1.1208</v>
      </c>
      <c r="AC57" s="25">
        <f t="shared" si="7"/>
        <v>353.03486197704922</v>
      </c>
      <c r="AD57" s="25"/>
      <c r="AE57" s="24">
        <f>+'Exports in money value'!J59</f>
        <v>6.4</v>
      </c>
      <c r="AF57" s="25">
        <f t="shared" si="8"/>
        <v>352.0206427579447</v>
      </c>
      <c r="AG57" s="41">
        <v>60.30749999999999</v>
      </c>
      <c r="AH57" s="25">
        <f t="shared" si="9"/>
        <v>320.45258875132112</v>
      </c>
      <c r="AI57" s="25">
        <v>208.31024851530412</v>
      </c>
      <c r="AJ57" s="25">
        <f t="shared" si="10"/>
        <v>1233.8183420016189</v>
      </c>
      <c r="AK57" s="24">
        <f t="shared" si="11"/>
        <v>0.28613196121263856</v>
      </c>
      <c r="AL57" s="24">
        <f t="shared" si="12"/>
        <v>0.28530994456352698</v>
      </c>
      <c r="AM57" s="24">
        <f t="shared" si="13"/>
        <v>0.25972428666561403</v>
      </c>
      <c r="AN57" s="25">
        <f>1000*AJ57/(Population!V57*0.596+Population!W57)</f>
        <v>125.97185652235977</v>
      </c>
      <c r="AO57" s="25"/>
      <c r="AP57" s="25">
        <f t="shared" si="14"/>
        <v>80</v>
      </c>
      <c r="AQ57" s="25">
        <f t="shared" si="15"/>
        <v>79.766981419433449</v>
      </c>
      <c r="AR57" s="25">
        <f t="shared" si="16"/>
        <v>102.91382252559725</v>
      </c>
      <c r="AS57" s="25">
        <f t="shared" si="17"/>
        <v>86.804241183509205</v>
      </c>
      <c r="AT57" s="25">
        <f t="shared" si="18"/>
        <v>145.12177608470532</v>
      </c>
      <c r="AU57">
        <f>+A57</f>
        <v>1754</v>
      </c>
    </row>
    <row r="58" spans="1:47" x14ac:dyDescent="0.2">
      <c r="A58">
        <v>1755</v>
      </c>
      <c r="B58">
        <v>4607500</v>
      </c>
      <c r="C58" s="25">
        <v>3321</v>
      </c>
      <c r="D58" s="25">
        <f>+'Exports of wines'!C10</f>
        <v>832.26666666666665</v>
      </c>
      <c r="E58" s="25">
        <f>+C58-D58</f>
        <v>2488.7333333333336</v>
      </c>
      <c r="F58" s="24">
        <f>+E58/(Population!AE58+Population!AG58)</f>
        <v>0.46466682010467725</v>
      </c>
      <c r="G58" s="25">
        <f>+C58+(Population!V58-Population!AE58)*0.3</f>
        <v>6306.8468304535982</v>
      </c>
      <c r="H58" s="25">
        <v>2444</v>
      </c>
      <c r="I58" s="25">
        <v>16770</v>
      </c>
      <c r="J58" s="25">
        <v>219</v>
      </c>
      <c r="K58" s="25">
        <v>2765</v>
      </c>
      <c r="L58" s="25">
        <v>87</v>
      </c>
      <c r="M58">
        <v>1097</v>
      </c>
      <c r="N58" s="25">
        <f t="shared" si="0"/>
        <v>20632</v>
      </c>
      <c r="O58" s="25">
        <f t="shared" si="1"/>
        <v>20632</v>
      </c>
      <c r="P58" s="25">
        <f t="shared" si="2"/>
        <v>39200.799999999996</v>
      </c>
      <c r="Q58" s="25">
        <f>2.5*Population!U58+1.25*(Population!V58-Population!U58)</f>
        <v>31701.273527308877</v>
      </c>
      <c r="R58">
        <v>17663</v>
      </c>
      <c r="S58" s="33">
        <f t="shared" si="3"/>
        <v>2800</v>
      </c>
      <c r="T58">
        <f>+A58</f>
        <v>1755</v>
      </c>
      <c r="U58" s="25">
        <f t="shared" si="4"/>
        <v>52164.273527308877</v>
      </c>
      <c r="V58" s="25">
        <f t="shared" si="5"/>
        <v>39200.799999999996</v>
      </c>
      <c r="W58">
        <v>1.9</v>
      </c>
      <c r="X58">
        <v>70</v>
      </c>
      <c r="Y58" s="25">
        <f>+'Livestock in possession'!AD57/1000</f>
        <v>4793.1397447040472</v>
      </c>
      <c r="Z58" s="40">
        <f>+('Meat supplied to the Company'!Q57*0.2+'Meat supplied to the Company'!R57*0.8)</f>
        <v>7.482142857142858E-2</v>
      </c>
      <c r="AA58" s="25">
        <f t="shared" si="6"/>
        <v>358.6295630412493</v>
      </c>
      <c r="AB58" s="25">
        <f>+'Export of butter'!B4*0.3*0.002</f>
        <v>16.9026</v>
      </c>
      <c r="AC58" s="25">
        <f t="shared" si="7"/>
        <v>375.53216304124931</v>
      </c>
      <c r="AD58" s="25"/>
      <c r="AE58" s="24">
        <f>+'Exports in money value'!J60</f>
        <v>6.3999999999999995</v>
      </c>
      <c r="AF58" s="25">
        <f t="shared" si="8"/>
        <v>292.36823528738836</v>
      </c>
      <c r="AG58" s="41">
        <v>59.604187500000009</v>
      </c>
      <c r="AH58" s="25">
        <f t="shared" si="9"/>
        <v>375.91448101613707</v>
      </c>
      <c r="AI58" s="25">
        <v>96.704732020950217</v>
      </c>
      <c r="AJ58" s="25">
        <f t="shared" si="10"/>
        <v>1140.5196113657248</v>
      </c>
      <c r="AK58" s="24">
        <f t="shared" si="11"/>
        <v>0.32926409971290643</v>
      </c>
      <c r="AL58" s="24">
        <f t="shared" si="12"/>
        <v>0.25634652168522515</v>
      </c>
      <c r="AM58" s="24">
        <f t="shared" si="13"/>
        <v>0.32959931356725652</v>
      </c>
      <c r="AN58" s="25">
        <f>1000*AJ58/(Population!V58*0.596+Population!W58)</f>
        <v>119.31634477701428</v>
      </c>
      <c r="AO58" s="25"/>
      <c r="AP58" s="25">
        <f t="shared" si="14"/>
        <v>80</v>
      </c>
      <c r="AQ58" s="25">
        <f t="shared" si="15"/>
        <v>79.766981419433449</v>
      </c>
      <c r="AR58" s="25">
        <f t="shared" si="16"/>
        <v>101.71363054607509</v>
      </c>
      <c r="AS58" s="25">
        <f t="shared" si="17"/>
        <v>86.444183589652567</v>
      </c>
      <c r="AT58" s="25">
        <f t="shared" si="18"/>
        <v>138.02703643243908</v>
      </c>
      <c r="AU58">
        <f>+A58</f>
        <v>1755</v>
      </c>
    </row>
    <row r="59" spans="1:47" x14ac:dyDescent="0.2">
      <c r="A59">
        <v>1756</v>
      </c>
      <c r="B59">
        <v>4720000</v>
      </c>
      <c r="C59" s="25">
        <v>4130</v>
      </c>
      <c r="D59" s="25">
        <f>+'Exports of wines'!C11</f>
        <v>739.2</v>
      </c>
      <c r="E59" s="25">
        <f>+C59-D59</f>
        <v>3390.8</v>
      </c>
      <c r="F59" s="24">
        <f>+E59/(Population!AE59+Population!AG59)</f>
        <v>0.66361862647254588</v>
      </c>
      <c r="G59" s="25">
        <f>+C59+(Population!V59-Population!AE59)*0.3</f>
        <v>6920.8399783825316</v>
      </c>
      <c r="H59" s="25">
        <v>2374</v>
      </c>
      <c r="I59" s="25">
        <v>19031</v>
      </c>
      <c r="J59" s="25">
        <v>228</v>
      </c>
      <c r="K59" s="25">
        <v>3653</v>
      </c>
      <c r="L59" s="25">
        <v>57</v>
      </c>
      <c r="M59">
        <v>708</v>
      </c>
      <c r="N59" s="25">
        <f t="shared" si="0"/>
        <v>23392</v>
      </c>
      <c r="O59" s="25">
        <f t="shared" si="1"/>
        <v>23392</v>
      </c>
      <c r="P59" s="25">
        <f t="shared" si="2"/>
        <v>44444.799999999996</v>
      </c>
      <c r="Q59" s="25">
        <f>2.5*Population!U59+1.25*(Population!V59-Population!U59)</f>
        <v>30028.810697177316</v>
      </c>
      <c r="R59">
        <v>14248</v>
      </c>
      <c r="S59" s="33">
        <f t="shared" si="3"/>
        <v>2200</v>
      </c>
      <c r="T59">
        <f>+A59</f>
        <v>1756</v>
      </c>
      <c r="U59" s="25">
        <f t="shared" si="4"/>
        <v>46476.810697177316</v>
      </c>
      <c r="V59" s="25">
        <f t="shared" si="5"/>
        <v>44444.799999999996</v>
      </c>
      <c r="W59">
        <v>1.9</v>
      </c>
      <c r="X59">
        <v>55</v>
      </c>
      <c r="Y59" s="25">
        <f>+'Livestock in possession'!AD58/1000</f>
        <v>4505.1164031022236</v>
      </c>
      <c r="Z59" s="40">
        <f>+('Meat supplied to the Company'!Q58*0.2+'Meat supplied to the Company'!R58*0.8)</f>
        <v>7.482142857142858E-2</v>
      </c>
      <c r="AA59" s="25">
        <f t="shared" si="6"/>
        <v>337.07924516068425</v>
      </c>
      <c r="AB59" s="25">
        <f>+'Export of butter'!B5*0.3*0.002</f>
        <v>22.2348</v>
      </c>
      <c r="AC59" s="25">
        <f t="shared" si="7"/>
        <v>359.31404516068426</v>
      </c>
      <c r="AD59" s="25"/>
      <c r="AE59" s="24">
        <f>+'Exports in money value'!J61</f>
        <v>6.4</v>
      </c>
      <c r="AF59" s="25">
        <f t="shared" si="8"/>
        <v>290.94915423096739</v>
      </c>
      <c r="AG59" s="41">
        <v>59.606250000000003</v>
      </c>
      <c r="AH59" s="25">
        <f t="shared" si="9"/>
        <v>412.52531796146383</v>
      </c>
      <c r="AI59" s="25">
        <v>100.1406882880582</v>
      </c>
      <c r="AJ59" s="25">
        <f t="shared" si="10"/>
        <v>1162.9292056411737</v>
      </c>
      <c r="AK59" s="24">
        <f t="shared" si="11"/>
        <v>0.30897327491451099</v>
      </c>
      <c r="AL59" s="24">
        <f t="shared" si="12"/>
        <v>0.25018647121391574</v>
      </c>
      <c r="AM59" s="24">
        <f t="shared" si="13"/>
        <v>0.35472951918343182</v>
      </c>
      <c r="AN59" s="25">
        <f>1000*AJ59/(Population!V59*0.596+Population!W59)</f>
        <v>128.69959390799193</v>
      </c>
      <c r="AO59" s="25"/>
      <c r="AP59" s="25">
        <f t="shared" si="14"/>
        <v>80</v>
      </c>
      <c r="AQ59" s="25">
        <f t="shared" si="15"/>
        <v>79.766981419433449</v>
      </c>
      <c r="AR59" s="25">
        <f t="shared" si="16"/>
        <v>101.71715017064847</v>
      </c>
      <c r="AS59" s="25">
        <f t="shared" si="17"/>
        <v>86.445239477024572</v>
      </c>
      <c r="AT59" s="25">
        <f t="shared" si="18"/>
        <v>148.87990904600099</v>
      </c>
      <c r="AU59">
        <f>+A59</f>
        <v>1756</v>
      </c>
    </row>
    <row r="60" spans="1:47" x14ac:dyDescent="0.2">
      <c r="A60">
        <v>1757</v>
      </c>
      <c r="B60">
        <v>4583000</v>
      </c>
      <c r="C60" s="25">
        <v>3019</v>
      </c>
      <c r="D60" s="25">
        <f>+'Exports of wines'!C12</f>
        <v>550.66666666666663</v>
      </c>
      <c r="E60" s="25">
        <f>+C60-D60</f>
        <v>2468.3333333333335</v>
      </c>
      <c r="F60" s="24">
        <f>+E60/(Population!AE60+Population!AG60)</f>
        <v>0.47498116009936164</v>
      </c>
      <c r="G60" s="25">
        <f>+C60+(Population!V60-Population!AE60)*0.3</f>
        <v>5905.3398004714345</v>
      </c>
      <c r="H60" s="25">
        <v>2299</v>
      </c>
      <c r="I60" s="25">
        <v>11813</v>
      </c>
      <c r="J60" s="25">
        <v>158.5</v>
      </c>
      <c r="K60" s="25">
        <v>1787</v>
      </c>
      <c r="L60" s="25">
        <v>45</v>
      </c>
      <c r="M60">
        <v>353</v>
      </c>
      <c r="N60" s="25">
        <f t="shared" si="0"/>
        <v>13953</v>
      </c>
      <c r="O60" s="25">
        <f t="shared" si="1"/>
        <v>13953</v>
      </c>
      <c r="P60" s="25">
        <f t="shared" si="2"/>
        <v>26510.699999999997</v>
      </c>
      <c r="Q60" s="25">
        <f>2.5*Population!U60+1.25*(Population!V60-Population!U60)</f>
        <v>30972.554318236551</v>
      </c>
      <c r="R60">
        <v>7813</v>
      </c>
      <c r="S60" s="33">
        <f t="shared" si="3"/>
        <v>2280</v>
      </c>
      <c r="T60">
        <f>+A60</f>
        <v>1757</v>
      </c>
      <c r="U60" s="25">
        <f t="shared" si="4"/>
        <v>41065.554318236551</v>
      </c>
      <c r="V60" s="25">
        <f t="shared" si="5"/>
        <v>26510.699999999997</v>
      </c>
      <c r="W60">
        <v>1.9</v>
      </c>
      <c r="X60">
        <v>57</v>
      </c>
      <c r="Y60" s="25">
        <f>+'Livestock in possession'!AD59/1000</f>
        <v>4475.7497926995675</v>
      </c>
      <c r="Z60" s="40">
        <f>+('Meat supplied to the Company'!Q59*0.2+'Meat supplied to the Company'!R59*0.8)</f>
        <v>7.482142857142858E-2</v>
      </c>
      <c r="AA60" s="25">
        <f t="shared" si="6"/>
        <v>334.88199341805694</v>
      </c>
      <c r="AB60" s="25">
        <f>+'Export of butter'!B6*0.3*0.002</f>
        <v>6.6678000000000006</v>
      </c>
      <c r="AC60" s="25">
        <f t="shared" si="7"/>
        <v>341.54979341805694</v>
      </c>
      <c r="AD60" s="25"/>
      <c r="AE60" s="24">
        <f>+'Exports in money value'!J62</f>
        <v>6.4</v>
      </c>
      <c r="AF60" s="25">
        <f t="shared" si="8"/>
        <v>216.24401381835696</v>
      </c>
      <c r="AG60" s="41">
        <v>66.644673123486683</v>
      </c>
      <c r="AH60" s="25">
        <f t="shared" si="9"/>
        <v>393.55944068553487</v>
      </c>
      <c r="AI60" s="25">
        <v>33.983757490845882</v>
      </c>
      <c r="AJ60" s="25">
        <f t="shared" si="10"/>
        <v>985.3370054127945</v>
      </c>
      <c r="AK60" s="24">
        <f t="shared" si="11"/>
        <v>0.34663246335193609</v>
      </c>
      <c r="AL60" s="24">
        <f t="shared" si="12"/>
        <v>0.21946198369740946</v>
      </c>
      <c r="AM60" s="24">
        <f t="shared" si="13"/>
        <v>0.39941607645260224</v>
      </c>
      <c r="AN60" s="25">
        <f>1000*AJ60/(Population!V60*0.596+Population!W60)</f>
        <v>105.65328831711146</v>
      </c>
      <c r="AO60" s="25"/>
      <c r="AP60" s="25">
        <f t="shared" si="14"/>
        <v>80</v>
      </c>
      <c r="AQ60" s="25">
        <f t="shared" si="15"/>
        <v>79.766981419433449</v>
      </c>
      <c r="AR60" s="25">
        <f t="shared" si="16"/>
        <v>113.72811113222983</v>
      </c>
      <c r="AS60" s="25">
        <f t="shared" si="17"/>
        <v>90.048527765498989</v>
      </c>
      <c r="AT60" s="25">
        <f t="shared" si="18"/>
        <v>117.32927893307684</v>
      </c>
      <c r="AU60">
        <f>+A60</f>
        <v>1757</v>
      </c>
    </row>
    <row r="61" spans="1:47" x14ac:dyDescent="0.2">
      <c r="A61">
        <v>1758</v>
      </c>
      <c r="B61">
        <v>4691000</v>
      </c>
      <c r="C61" s="25">
        <v>3272.5</v>
      </c>
      <c r="D61" s="25">
        <f>+'Exports of wines'!C13</f>
        <v>480.8</v>
      </c>
      <c r="E61" s="25">
        <f>+C61-D61</f>
        <v>2791.7</v>
      </c>
      <c r="F61" s="24">
        <f>+E61/(Population!AE61+Population!AG61)</f>
        <v>0.50784729952016838</v>
      </c>
      <c r="G61" s="25">
        <f>+C61+(Population!V61-Population!AE61)*0.3</f>
        <v>6256.1989222606808</v>
      </c>
      <c r="H61" s="25">
        <v>2986</v>
      </c>
      <c r="I61" s="25">
        <v>20463</v>
      </c>
      <c r="J61" s="25">
        <v>197</v>
      </c>
      <c r="K61" s="25">
        <v>3195</v>
      </c>
      <c r="L61" s="25">
        <v>57.5</v>
      </c>
      <c r="M61">
        <v>819</v>
      </c>
      <c r="N61" s="25">
        <f t="shared" si="0"/>
        <v>24477</v>
      </c>
      <c r="O61" s="25">
        <f t="shared" si="1"/>
        <v>24477</v>
      </c>
      <c r="P61" s="25">
        <f t="shared" si="2"/>
        <v>46506.299999999996</v>
      </c>
      <c r="Q61" s="25">
        <f>2.5*Population!U61+1.25*(Population!V61-Population!U61)</f>
        <v>32019.311193516423</v>
      </c>
      <c r="R61">
        <v>12099</v>
      </c>
      <c r="S61" s="33">
        <f t="shared" si="3"/>
        <v>2640</v>
      </c>
      <c r="T61">
        <f>+A61</f>
        <v>1758</v>
      </c>
      <c r="U61" s="25">
        <f t="shared" si="4"/>
        <v>46758.31119351642</v>
      </c>
      <c r="V61" s="25">
        <f t="shared" si="5"/>
        <v>46506.299999999996</v>
      </c>
      <c r="W61">
        <v>1.9</v>
      </c>
      <c r="X61">
        <v>66</v>
      </c>
      <c r="Y61" s="25">
        <f>+'Livestock in possession'!AD60/1000</f>
        <v>4607.5357529477751</v>
      </c>
      <c r="Z61" s="40">
        <f>+('Meat supplied to the Company'!Q60*0.2+'Meat supplied to the Company'!R60*0.8)</f>
        <v>7.482142857142858E-2</v>
      </c>
      <c r="AA61" s="25">
        <f t="shared" si="6"/>
        <v>344.74240722948537</v>
      </c>
      <c r="AB61" s="25">
        <f>+'Export of butter'!B7*0.3*0.002</f>
        <v>17.853000000000002</v>
      </c>
      <c r="AC61" s="25">
        <f t="shared" si="7"/>
        <v>362.59540722948537</v>
      </c>
      <c r="AD61" s="25"/>
      <c r="AE61" s="24">
        <f>+'Exports in money value'!J63</f>
        <v>6.4</v>
      </c>
      <c r="AF61" s="25">
        <f t="shared" si="8"/>
        <v>298.44675581925253</v>
      </c>
      <c r="AG61" s="41">
        <v>62.815307820299502</v>
      </c>
      <c r="AH61" s="25">
        <f t="shared" si="9"/>
        <v>392.98506108683068</v>
      </c>
      <c r="AI61" s="25">
        <v>-8.2387002605812949</v>
      </c>
      <c r="AJ61" s="25">
        <f t="shared" si="10"/>
        <v>1045.7885238749873</v>
      </c>
      <c r="AK61" s="24">
        <f t="shared" si="11"/>
        <v>0.34671962729706696</v>
      </c>
      <c r="AL61" s="24">
        <f t="shared" si="12"/>
        <v>0.28537964321257803</v>
      </c>
      <c r="AM61" s="24">
        <f t="shared" si="13"/>
        <v>0.37577870871129182</v>
      </c>
      <c r="AN61" s="25">
        <f>1000*AJ61/(Population!V61*0.596+Population!W61)</f>
        <v>108.34048025277295</v>
      </c>
      <c r="AO61" s="25"/>
      <c r="AP61" s="25">
        <f t="shared" si="14"/>
        <v>80</v>
      </c>
      <c r="AQ61" s="25">
        <f t="shared" si="15"/>
        <v>79.766981419433449</v>
      </c>
      <c r="AR61" s="25">
        <f t="shared" si="16"/>
        <v>107.19335805511861</v>
      </c>
      <c r="AS61" s="25">
        <f t="shared" si="17"/>
        <v>88.088101842365617</v>
      </c>
      <c r="AT61" s="25">
        <f t="shared" si="18"/>
        <v>122.99104871921196</v>
      </c>
      <c r="AU61">
        <f>+A61</f>
        <v>1758</v>
      </c>
    </row>
    <row r="62" spans="1:47" x14ac:dyDescent="0.2">
      <c r="A62">
        <v>1759</v>
      </c>
      <c r="B62">
        <v>4620000</v>
      </c>
      <c r="C62" s="25">
        <v>1831</v>
      </c>
      <c r="D62" s="25">
        <f>+'Exports of wines'!C14</f>
        <v>348.53333333333336</v>
      </c>
      <c r="E62" s="25">
        <f>+C62-D62</f>
        <v>1482.4666666666667</v>
      </c>
      <c r="F62" s="24">
        <f>+E62/(Population!AE62+Population!AG62)</f>
        <v>0.26091582339758751</v>
      </c>
      <c r="G62" s="25">
        <f>+C62+(Population!V62-Population!AE62)*0.3</f>
        <v>4861.5969313036112</v>
      </c>
      <c r="H62" s="25">
        <v>2240</v>
      </c>
      <c r="I62" s="25">
        <v>14353</v>
      </c>
      <c r="J62" s="25">
        <v>170</v>
      </c>
      <c r="K62" s="25">
        <v>2188</v>
      </c>
      <c r="L62" s="25">
        <v>48</v>
      </c>
      <c r="M62">
        <v>595</v>
      </c>
      <c r="N62" s="25">
        <f t="shared" si="0"/>
        <v>17136</v>
      </c>
      <c r="O62" s="25">
        <f t="shared" si="1"/>
        <v>17136</v>
      </c>
      <c r="P62" s="25">
        <f t="shared" si="2"/>
        <v>35985.599999999999</v>
      </c>
      <c r="Q62" s="25">
        <f>2.5*Population!U62+1.25*(Population!V62-Population!U62)</f>
        <v>32782.074178806506</v>
      </c>
      <c r="R62">
        <v>14740</v>
      </c>
      <c r="S62" s="33">
        <f t="shared" si="3"/>
        <v>2840</v>
      </c>
      <c r="T62">
        <f>+A62</f>
        <v>1759</v>
      </c>
      <c r="U62" s="25">
        <f t="shared" si="4"/>
        <v>50362.074178806506</v>
      </c>
      <c r="V62" s="25">
        <f t="shared" si="5"/>
        <v>35985.599999999999</v>
      </c>
      <c r="W62">
        <v>2.1</v>
      </c>
      <c r="X62">
        <v>71</v>
      </c>
      <c r="Y62" s="25">
        <f>+'Livestock in possession'!AD61/1000</f>
        <v>4817.7934186849843</v>
      </c>
      <c r="Z62" s="40">
        <f>+('Meat supplied to the Company'!Q61*0.2+'Meat supplied to the Company'!R61*0.8)</f>
        <v>7.6071428571428581E-2</v>
      </c>
      <c r="AA62" s="25">
        <f t="shared" si="6"/>
        <v>366.49642792139349</v>
      </c>
      <c r="AB62" s="25"/>
      <c r="AC62" s="25">
        <f t="shared" si="7"/>
        <v>366.49642792139349</v>
      </c>
      <c r="AD62" s="25"/>
      <c r="AE62" s="24">
        <f>+'Exports in money value'!J64</f>
        <v>6.4</v>
      </c>
      <c r="AF62" s="25">
        <f t="shared" si="8"/>
        <v>276.31255737218083</v>
      </c>
      <c r="AG62" s="41">
        <v>60.525344299923489</v>
      </c>
      <c r="AH62" s="25">
        <f t="shared" si="9"/>
        <v>294.24982811460256</v>
      </c>
      <c r="AI62" s="25">
        <v>36.208733206065958</v>
      </c>
      <c r="AJ62" s="25">
        <f t="shared" si="10"/>
        <v>973.26754661424275</v>
      </c>
      <c r="AK62" s="24">
        <f t="shared" si="11"/>
        <v>0.37656287749072082</v>
      </c>
      <c r="AL62" s="24">
        <f t="shared" si="12"/>
        <v>0.28390195309953969</v>
      </c>
      <c r="AM62" s="24">
        <f t="shared" si="13"/>
        <v>0.30233190158063422</v>
      </c>
      <c r="AN62" s="25">
        <f>1000*AJ62/(Population!V62*0.596+Population!W62)</f>
        <v>98.371307315990776</v>
      </c>
      <c r="AO62" s="25"/>
      <c r="AP62" s="25">
        <f t="shared" si="14"/>
        <v>80</v>
      </c>
      <c r="AQ62" s="25">
        <f t="shared" si="15"/>
        <v>81.099604020712789</v>
      </c>
      <c r="AR62" s="25">
        <f t="shared" si="16"/>
        <v>103.28557047768514</v>
      </c>
      <c r="AS62" s="25">
        <f t="shared" si="17"/>
        <v>87.315552349519379</v>
      </c>
      <c r="AT62" s="25">
        <f t="shared" si="18"/>
        <v>112.66183935046968</v>
      </c>
      <c r="AU62">
        <f>+A62</f>
        <v>1759</v>
      </c>
    </row>
    <row r="63" spans="1:47" x14ac:dyDescent="0.2">
      <c r="A63">
        <v>1760</v>
      </c>
      <c r="B63">
        <v>4734000</v>
      </c>
      <c r="C63" s="25">
        <v>2830</v>
      </c>
      <c r="D63" s="25">
        <f>+'Exports of wines'!C15</f>
        <v>460.53333333333336</v>
      </c>
      <c r="E63" s="25">
        <f>+C63-D63</f>
        <v>2369.4666666666667</v>
      </c>
      <c r="F63" s="24">
        <f>+E63/(Population!AE63+Population!AG63)</f>
        <v>0.40399577763008815</v>
      </c>
      <c r="G63" s="25">
        <f>+C63+(Population!V63-Population!AE63)*0.3</f>
        <v>5987.654168990317</v>
      </c>
      <c r="H63" s="25">
        <v>2173</v>
      </c>
      <c r="I63" s="25">
        <v>14871</v>
      </c>
      <c r="J63" s="25">
        <v>161</v>
      </c>
      <c r="K63" s="25">
        <v>1981</v>
      </c>
      <c r="L63" s="25">
        <v>16</v>
      </c>
      <c r="M63">
        <v>184</v>
      </c>
      <c r="N63" s="25">
        <f t="shared" si="0"/>
        <v>17036</v>
      </c>
      <c r="O63" s="25">
        <f t="shared" si="1"/>
        <v>17036</v>
      </c>
      <c r="P63" s="25">
        <f t="shared" si="2"/>
        <v>35775.599999999999</v>
      </c>
      <c r="Q63" s="25">
        <f>2.5*Population!U63+1.25*(Population!V63-Population!U63)</f>
        <v>34021.169362671732</v>
      </c>
      <c r="R63">
        <v>13764</v>
      </c>
      <c r="S63" s="33">
        <f t="shared" si="3"/>
        <v>2880</v>
      </c>
      <c r="T63">
        <f>+A63</f>
        <v>1760</v>
      </c>
      <c r="U63" s="25">
        <f t="shared" si="4"/>
        <v>50665.169362671732</v>
      </c>
      <c r="V63" s="25">
        <f t="shared" si="5"/>
        <v>35775.599999999999</v>
      </c>
      <c r="W63">
        <v>2.1</v>
      </c>
      <c r="X63">
        <v>72</v>
      </c>
      <c r="Y63" s="25">
        <f>+'Livestock in possession'!AD62/1000</f>
        <v>4973.8021907555976</v>
      </c>
      <c r="Z63" s="40">
        <f>+('Meat supplied to the Company'!Q62*0.2+'Meat supplied to the Company'!R62*0.8)</f>
        <v>7.6071428571428581E-2</v>
      </c>
      <c r="AA63" s="25">
        <f t="shared" si="6"/>
        <v>378.36423808247946</v>
      </c>
      <c r="AB63" s="25">
        <f>+'Export of butter'!B9*0.3*0.002</f>
        <v>4.4261999999999997</v>
      </c>
      <c r="AC63" s="25">
        <f t="shared" si="7"/>
        <v>382.79043808247945</v>
      </c>
      <c r="AD63" s="25"/>
      <c r="AE63" s="24">
        <f>+'Exports in money value'!J65</f>
        <v>6.3999999999999995</v>
      </c>
      <c r="AF63" s="25">
        <f t="shared" si="8"/>
        <v>276.61046196054951</v>
      </c>
      <c r="AG63" s="41">
        <v>59.296033584250154</v>
      </c>
      <c r="AH63" s="25">
        <f t="shared" si="9"/>
        <v>355.04414269532526</v>
      </c>
      <c r="AI63" s="25">
        <v>-8.9743865372021148</v>
      </c>
      <c r="AJ63" s="25">
        <f t="shared" si="10"/>
        <v>1005.4706562011521</v>
      </c>
      <c r="AK63" s="24">
        <f t="shared" si="11"/>
        <v>0.38070771704937684</v>
      </c>
      <c r="AL63" s="24">
        <f t="shared" si="12"/>
        <v>0.27510545459937469</v>
      </c>
      <c r="AM63" s="24">
        <f t="shared" si="13"/>
        <v>0.3531123862298931</v>
      </c>
      <c r="AN63" s="25">
        <f>1000*AJ63/(Population!V63*0.596+Population!W63)</f>
        <v>97.498779243565238</v>
      </c>
      <c r="AO63" s="25"/>
      <c r="AP63" s="25">
        <f t="shared" si="14"/>
        <v>80</v>
      </c>
      <c r="AQ63" s="25">
        <f t="shared" si="15"/>
        <v>81.099604020712789</v>
      </c>
      <c r="AR63" s="25">
        <f t="shared" si="16"/>
        <v>101.18777062158729</v>
      </c>
      <c r="AS63" s="25">
        <f t="shared" si="17"/>
        <v>86.686212392690024</v>
      </c>
      <c r="AT63" s="25">
        <f t="shared" si="18"/>
        <v>112.47322561734974</v>
      </c>
      <c r="AU63">
        <f>+A63</f>
        <v>1760</v>
      </c>
    </row>
    <row r="64" spans="1:47" x14ac:dyDescent="0.2">
      <c r="A64">
        <v>1761</v>
      </c>
      <c r="B64">
        <v>4577600</v>
      </c>
      <c r="C64" s="25">
        <v>2767.5</v>
      </c>
      <c r="D64" s="25">
        <f>+'Exports of wines'!C16</f>
        <v>362.93333333333334</v>
      </c>
      <c r="E64" s="25">
        <f>+C64-D64</f>
        <v>2404.5666666666666</v>
      </c>
      <c r="F64" s="24">
        <f>+E64/(Population!AE64+Population!AG64)</f>
        <v>0.40552919960138956</v>
      </c>
      <c r="G64" s="25">
        <f>+C64+(Population!V64-Population!AE64)*0.3</f>
        <v>6008.9097278410945</v>
      </c>
      <c r="H64" s="25">
        <v>2351</v>
      </c>
      <c r="I64" s="25">
        <v>20128</v>
      </c>
      <c r="J64" s="25">
        <v>177</v>
      </c>
      <c r="K64" s="25">
        <v>2503</v>
      </c>
      <c r="L64" s="25">
        <v>25</v>
      </c>
      <c r="M64">
        <v>334</v>
      </c>
      <c r="N64" s="25">
        <f t="shared" si="0"/>
        <v>22965</v>
      </c>
      <c r="O64" s="25">
        <f t="shared" si="1"/>
        <v>22965</v>
      </c>
      <c r="P64" s="25">
        <f t="shared" si="2"/>
        <v>48226.5</v>
      </c>
      <c r="Q64" s="25">
        <f>2.5*Population!U64+1.25*(Population!V64-Population!U64)</f>
        <v>34954.334518726479</v>
      </c>
      <c r="R64">
        <v>10114</v>
      </c>
      <c r="S64" s="33">
        <f t="shared" si="3"/>
        <v>2840</v>
      </c>
      <c r="T64">
        <f>+A64</f>
        <v>1761</v>
      </c>
      <c r="U64" s="25">
        <f t="shared" si="4"/>
        <v>47908.334518726479</v>
      </c>
      <c r="V64" s="25">
        <f t="shared" si="5"/>
        <v>48226.5</v>
      </c>
      <c r="W64">
        <v>2.1</v>
      </c>
      <c r="X64">
        <v>71</v>
      </c>
      <c r="Y64" s="25">
        <f>+'Livestock in possession'!AD63/1000</f>
        <v>4986.4539827420795</v>
      </c>
      <c r="Z64" s="40">
        <f>+('Meat supplied to the Company'!Q63*0.2+'Meat supplied to the Company'!R63*0.8)</f>
        <v>7.6071428571428581E-2</v>
      </c>
      <c r="AA64" s="25">
        <f t="shared" si="6"/>
        <v>379.32667797287968</v>
      </c>
      <c r="AB64" s="25">
        <f>+'Export of butter'!B10*0.3*0.002</f>
        <v>9.5304000000000002</v>
      </c>
      <c r="AC64" s="25">
        <f t="shared" si="7"/>
        <v>388.85707797287967</v>
      </c>
      <c r="AD64" s="25"/>
      <c r="AE64" s="24">
        <f>+'Exports in money value'!J66</f>
        <v>6.3999999999999995</v>
      </c>
      <c r="AF64" s="25">
        <f t="shared" si="8"/>
        <v>307.63147045992474</v>
      </c>
      <c r="AG64" s="41">
        <v>69.942459588537844</v>
      </c>
      <c r="AH64" s="25">
        <f t="shared" si="9"/>
        <v>420.27792581069764</v>
      </c>
      <c r="AI64" s="25">
        <v>33.04956551601736</v>
      </c>
      <c r="AJ64" s="25">
        <f t="shared" si="10"/>
        <v>1149.8160397595195</v>
      </c>
      <c r="AK64" s="24">
        <f t="shared" si="11"/>
        <v>0.33819068835933785</v>
      </c>
      <c r="AL64" s="24">
        <f t="shared" si="12"/>
        <v>0.26754842498480447</v>
      </c>
      <c r="AM64" s="24">
        <f t="shared" si="13"/>
        <v>0.36551753609090154</v>
      </c>
      <c r="AN64" s="25">
        <f>1000*AJ64/(Population!V64*0.596+Population!W64)</f>
        <v>108.52185584219093</v>
      </c>
      <c r="AO64" s="25"/>
      <c r="AP64" s="25">
        <f t="shared" si="14"/>
        <v>80</v>
      </c>
      <c r="AQ64" s="25">
        <f t="shared" si="15"/>
        <v>81.099604020712789</v>
      </c>
      <c r="AR64" s="25">
        <f t="shared" si="16"/>
        <v>119.35573308624204</v>
      </c>
      <c r="AS64" s="25">
        <f t="shared" si="17"/>
        <v>92.136601132086454</v>
      </c>
      <c r="AT64" s="25">
        <f t="shared" si="18"/>
        <v>117.78365438791765</v>
      </c>
      <c r="AU64">
        <f>+A64</f>
        <v>1761</v>
      </c>
    </row>
    <row r="65" spans="1:47" x14ac:dyDescent="0.2">
      <c r="A65">
        <v>1762</v>
      </c>
      <c r="B65">
        <v>4396000</v>
      </c>
      <c r="C65" s="25">
        <v>1998.5</v>
      </c>
      <c r="D65" s="25">
        <f>+'Exports of wines'!C17</f>
        <v>625.33333333333337</v>
      </c>
      <c r="E65" s="25">
        <f>+C65-D65</f>
        <v>1373.1666666666665</v>
      </c>
      <c r="F65" s="24">
        <f>+E65/(Population!AE65+Population!AG65)</f>
        <v>0.2262918650894418</v>
      </c>
      <c r="G65" s="25">
        <f>+C65+(Population!V65-Population!AE65)*0.3</f>
        <v>5315.2360800569895</v>
      </c>
      <c r="H65" s="25">
        <v>2308</v>
      </c>
      <c r="I65" s="25">
        <v>16532</v>
      </c>
      <c r="J65" s="25">
        <v>174</v>
      </c>
      <c r="K65" s="25">
        <v>2218</v>
      </c>
      <c r="L65" s="25">
        <v>25</v>
      </c>
      <c r="M65">
        <v>252</v>
      </c>
      <c r="N65" s="25">
        <f t="shared" si="0"/>
        <v>19002</v>
      </c>
      <c r="O65" s="25">
        <f t="shared" si="1"/>
        <v>19002</v>
      </c>
      <c r="P65" s="25">
        <f t="shared" si="2"/>
        <v>39904.200000000004</v>
      </c>
      <c r="Q65" s="25">
        <f>2.5*Population!U65+1.25*(Population!V65-Population!U65)</f>
        <v>35679.990389031387</v>
      </c>
      <c r="R65">
        <v>12964</v>
      </c>
      <c r="S65" s="33">
        <f t="shared" si="3"/>
        <v>2360</v>
      </c>
      <c r="T65">
        <f>+A65</f>
        <v>1762</v>
      </c>
      <c r="U65" s="25">
        <f t="shared" si="4"/>
        <v>51003.990389031387</v>
      </c>
      <c r="V65" s="25">
        <f t="shared" si="5"/>
        <v>39904.200000000004</v>
      </c>
      <c r="W65">
        <v>2.1</v>
      </c>
      <c r="X65">
        <v>59</v>
      </c>
      <c r="Y65" s="25">
        <f>+'Livestock in possession'!AD64/1000</f>
        <v>5010.1865683534097</v>
      </c>
      <c r="Z65" s="40">
        <f>+('Meat supplied to the Company'!Q64*0.2+'Meat supplied to the Company'!R64*0.8)</f>
        <v>7.6071428571428581E-2</v>
      </c>
      <c r="AA65" s="25">
        <f t="shared" si="6"/>
        <v>381.13204966402731</v>
      </c>
      <c r="AB65" s="25">
        <f>+'Export of butter'!B11*0.3*0.002</f>
        <v>18.847799999999999</v>
      </c>
      <c r="AC65" s="25">
        <f t="shared" si="7"/>
        <v>399.97984966402731</v>
      </c>
      <c r="AD65" s="25"/>
      <c r="AE65" s="24">
        <f>+'Exports in money value'!J67</f>
        <v>6.3999999999999995</v>
      </c>
      <c r="AF65" s="25">
        <f t="shared" si="8"/>
        <v>290.90620924490042</v>
      </c>
      <c r="AG65" s="41">
        <v>58.802478678038391</v>
      </c>
      <c r="AH65" s="25">
        <f t="shared" si="9"/>
        <v>312.54905626629147</v>
      </c>
      <c r="AI65" s="25">
        <v>51.581918430327683</v>
      </c>
      <c r="AJ65" s="25">
        <f t="shared" si="10"/>
        <v>1055.0170336055469</v>
      </c>
      <c r="AK65" s="24">
        <f t="shared" si="11"/>
        <v>0.37912169844034294</v>
      </c>
      <c r="AL65" s="24">
        <f t="shared" si="12"/>
        <v>0.27573603077357078</v>
      </c>
      <c r="AM65" s="24">
        <f t="shared" si="13"/>
        <v>0.29625024649900422</v>
      </c>
      <c r="AN65" s="25">
        <f>1000*AJ65/(Population!V65*0.596+Population!W65)</f>
        <v>97.045040012616226</v>
      </c>
      <c r="AO65" s="25"/>
      <c r="AP65" s="25">
        <f t="shared" si="14"/>
        <v>80</v>
      </c>
      <c r="AQ65" s="25">
        <f t="shared" si="15"/>
        <v>81.099604020712789</v>
      </c>
      <c r="AR65" s="25">
        <f t="shared" si="16"/>
        <v>100.34552675433171</v>
      </c>
      <c r="AS65" s="25">
        <f t="shared" si="17"/>
        <v>86.433539232513354</v>
      </c>
      <c r="AT65" s="25">
        <f t="shared" si="18"/>
        <v>112.27706382768505</v>
      </c>
      <c r="AU65">
        <f>+A65</f>
        <v>1762</v>
      </c>
    </row>
    <row r="66" spans="1:47" x14ac:dyDescent="0.2">
      <c r="A66">
        <v>1763</v>
      </c>
      <c r="B66">
        <v>4714000</v>
      </c>
      <c r="C66" s="25">
        <v>2805.5</v>
      </c>
      <c r="D66" s="25">
        <f>+'Exports of wines'!C18</f>
        <v>470.66666666666669</v>
      </c>
      <c r="E66" s="25">
        <f>+C66-D66</f>
        <v>2334.8333333333335</v>
      </c>
      <c r="F66" s="24">
        <f>+E66/(Population!AE66+Population!AG66)</f>
        <v>0.36643989027946244</v>
      </c>
      <c r="G66" s="25">
        <f>+C66+(Population!V66-Population!AE66)*0.3</f>
        <v>6284.3761640631874</v>
      </c>
      <c r="H66" s="25">
        <v>2370</v>
      </c>
      <c r="I66" s="25">
        <v>19530</v>
      </c>
      <c r="J66" s="25">
        <v>191.5</v>
      </c>
      <c r="K66" s="25">
        <v>2252</v>
      </c>
      <c r="L66" s="25">
        <v>35</v>
      </c>
      <c r="M66">
        <v>377</v>
      </c>
      <c r="N66" s="25">
        <f t="shared" si="0"/>
        <v>22159</v>
      </c>
      <c r="O66" s="25">
        <f t="shared" si="1"/>
        <v>22159</v>
      </c>
      <c r="P66" s="25">
        <f t="shared" si="2"/>
        <v>46533.9</v>
      </c>
      <c r="Q66" s="25">
        <f>2.5*Population!U66+1.25*(Population!V66-Population!U66)</f>
        <v>37414.487568930112</v>
      </c>
      <c r="R66">
        <v>14470</v>
      </c>
      <c r="S66" s="33">
        <f t="shared" si="3"/>
        <v>2880</v>
      </c>
      <c r="T66">
        <f>+A66</f>
        <v>1763</v>
      </c>
      <c r="U66" s="25">
        <f t="shared" si="4"/>
        <v>54764.487568930112</v>
      </c>
      <c r="V66" s="25">
        <f t="shared" si="5"/>
        <v>46533.9</v>
      </c>
      <c r="W66">
        <v>2.1</v>
      </c>
      <c r="X66">
        <v>72</v>
      </c>
      <c r="Y66" s="25">
        <f>+'Livestock in possession'!AD65/1000</f>
        <v>5236.9502335043671</v>
      </c>
      <c r="Z66" s="40">
        <f>+('Meat supplied to the Company'!Q65*0.2+'Meat supplied to the Company'!R65*0.8)</f>
        <v>7.6071428571428581E-2</v>
      </c>
      <c r="AA66" s="25">
        <f t="shared" si="6"/>
        <v>398.38228562015371</v>
      </c>
      <c r="AB66" s="25">
        <f>+'Export of butter'!B12*0.3*0.002</f>
        <v>33.776400000000002</v>
      </c>
      <c r="AC66" s="25">
        <f t="shared" si="7"/>
        <v>432.15868562015373</v>
      </c>
      <c r="AD66" s="25"/>
      <c r="AE66" s="24">
        <f>+'Exports in money value'!J68</f>
        <v>6.3999999999999995</v>
      </c>
      <c r="AF66" s="25">
        <f t="shared" si="8"/>
        <v>324.15484022057632</v>
      </c>
      <c r="AG66" s="41">
        <v>67.761118980169968</v>
      </c>
      <c r="AH66" s="25">
        <f t="shared" si="9"/>
        <v>425.83636096922976</v>
      </c>
      <c r="AI66" s="25">
        <v>150.60243908079067</v>
      </c>
      <c r="AJ66" s="25">
        <f t="shared" si="10"/>
        <v>1332.7523258907504</v>
      </c>
      <c r="AK66" s="24">
        <f t="shared" si="11"/>
        <v>0.3242603124562688</v>
      </c>
      <c r="AL66" s="24">
        <f t="shared" si="12"/>
        <v>0.24322211555993806</v>
      </c>
      <c r="AM66" s="24">
        <f t="shared" si="13"/>
        <v>0.31951650182611407</v>
      </c>
      <c r="AN66" s="25">
        <f>1000*AJ66/(Population!V66*0.596+Population!W66)</f>
        <v>116.64162727427217</v>
      </c>
      <c r="AO66" s="25"/>
      <c r="AP66" s="25">
        <f t="shared" si="14"/>
        <v>80</v>
      </c>
      <c r="AQ66" s="25">
        <f t="shared" si="15"/>
        <v>81.099604020712789</v>
      </c>
      <c r="AR66" s="25">
        <f t="shared" si="16"/>
        <v>115.63330883988048</v>
      </c>
      <c r="AS66" s="25">
        <f t="shared" si="17"/>
        <v>91.019873858177988</v>
      </c>
      <c r="AT66" s="25">
        <f t="shared" si="18"/>
        <v>128.14962527416435</v>
      </c>
      <c r="AU66">
        <f>+A66</f>
        <v>1763</v>
      </c>
    </row>
    <row r="67" spans="1:47" x14ac:dyDescent="0.2">
      <c r="A67">
        <v>1764</v>
      </c>
      <c r="B67">
        <v>5103000</v>
      </c>
      <c r="C67" s="25">
        <v>3730</v>
      </c>
      <c r="D67" s="25">
        <f>+'Exports of wines'!C19</f>
        <v>483.2</v>
      </c>
      <c r="E67" s="25">
        <f>+C67-D67</f>
        <v>3246.8</v>
      </c>
      <c r="F67" s="24">
        <f>+E67/(Population!AE67+Population!AG67)</f>
        <v>0.4799775129028282</v>
      </c>
      <c r="G67" s="25">
        <f>+C67+(Population!V67-Population!AE67)*0.3</f>
        <v>7403.5113463089592</v>
      </c>
      <c r="H67" s="25">
        <v>1944</v>
      </c>
      <c r="I67" s="70">
        <v>9964</v>
      </c>
      <c r="J67" s="25">
        <v>192</v>
      </c>
      <c r="K67" s="25">
        <v>1895</v>
      </c>
      <c r="L67" s="25">
        <v>27.5</v>
      </c>
      <c r="M67">
        <v>216</v>
      </c>
      <c r="N67" s="25">
        <f t="shared" si="0"/>
        <v>12075</v>
      </c>
      <c r="O67" s="25">
        <f t="shared" si="1"/>
        <v>12075</v>
      </c>
      <c r="P67" s="25">
        <f t="shared" si="2"/>
        <v>28980</v>
      </c>
      <c r="Q67" s="25">
        <f>2.5*Population!U67+1.25*(Population!V67-Population!U67)</f>
        <v>39332.865799959305</v>
      </c>
      <c r="R67">
        <v>6930</v>
      </c>
      <c r="S67" s="33">
        <f t="shared" si="3"/>
        <v>3120</v>
      </c>
      <c r="T67">
        <f>+A67</f>
        <v>1764</v>
      </c>
      <c r="U67" s="25">
        <f t="shared" si="4"/>
        <v>49382.865799959305</v>
      </c>
      <c r="V67" s="25">
        <f t="shared" si="5"/>
        <v>28980</v>
      </c>
      <c r="W67">
        <v>2.4</v>
      </c>
      <c r="X67">
        <v>78</v>
      </c>
      <c r="Y67" s="25">
        <f>+'Livestock in possession'!AD66/1000</f>
        <v>5456.1867273723219</v>
      </c>
      <c r="Z67" s="40">
        <f>+('Meat supplied to the Company'!Q66*0.2+'Meat supplied to the Company'!R66*0.8)</f>
        <v>6.7142857142857143E-2</v>
      </c>
      <c r="AA67" s="25">
        <f t="shared" si="6"/>
        <v>366.34396598071305</v>
      </c>
      <c r="AB67" s="25">
        <f>+'Export of butter'!B13*0.3*0.002</f>
        <v>20.380200000000002</v>
      </c>
      <c r="AC67" s="25">
        <f t="shared" si="7"/>
        <v>386.72416598071305</v>
      </c>
      <c r="AD67" s="25"/>
      <c r="AE67" s="24">
        <f>+'Exports in money value'!J69</f>
        <v>6.3999999999999995</v>
      </c>
      <c r="AF67" s="25">
        <f t="shared" si="8"/>
        <v>250.76117055986978</v>
      </c>
      <c r="AG67" s="41">
        <v>61.147350993377486</v>
      </c>
      <c r="AH67" s="25">
        <f t="shared" si="9"/>
        <v>452.70510687620663</v>
      </c>
      <c r="AI67" s="25">
        <v>250.85928247170872</v>
      </c>
      <c r="AJ67" s="25">
        <f t="shared" si="10"/>
        <v>1341.0497258884982</v>
      </c>
      <c r="AK67" s="24">
        <f t="shared" si="11"/>
        <v>0.28837421798397006</v>
      </c>
      <c r="AL67" s="24">
        <f t="shared" si="12"/>
        <v>0.18698871914964274</v>
      </c>
      <c r="AM67" s="24">
        <f t="shared" si="13"/>
        <v>0.33757518318440555</v>
      </c>
      <c r="AN67" s="25">
        <f>1000*AJ67/(Population!V67*0.596+Population!W67)</f>
        <v>111.80488599291917</v>
      </c>
      <c r="AO67" s="25"/>
      <c r="AP67" s="25">
        <f t="shared" si="14"/>
        <v>80</v>
      </c>
      <c r="AQ67" s="25">
        <f t="shared" si="15"/>
        <v>71.580871154431932</v>
      </c>
      <c r="AR67" s="25">
        <f t="shared" si="16"/>
        <v>104.34701534706055</v>
      </c>
      <c r="AS67" s="25">
        <f t="shared" si="17"/>
        <v>84.77836595044775</v>
      </c>
      <c r="AT67" s="25">
        <f t="shared" si="18"/>
        <v>131.87902920689484</v>
      </c>
      <c r="AU67">
        <f>+A67</f>
        <v>1764</v>
      </c>
    </row>
    <row r="68" spans="1:47" x14ac:dyDescent="0.2">
      <c r="A68">
        <v>1765</v>
      </c>
      <c r="B68">
        <v>5071000</v>
      </c>
      <c r="C68" s="25">
        <v>2786</v>
      </c>
      <c r="D68" s="25">
        <f>+'Exports of wines'!C20</f>
        <v>505.06666666666666</v>
      </c>
      <c r="E68" s="25">
        <f>+C68-D68</f>
        <v>2280.9333333333334</v>
      </c>
      <c r="F68" s="24">
        <f>+E68/(Population!AE68+Population!AG68)</f>
        <v>0.34721742082987811</v>
      </c>
      <c r="G68" s="25">
        <f>+C68+(Population!V68-Population!AE68)*0.3</f>
        <v>6491.3382687148478</v>
      </c>
      <c r="H68" s="25">
        <v>1962</v>
      </c>
      <c r="I68" s="25">
        <v>8653</v>
      </c>
      <c r="J68" s="25">
        <v>256</v>
      </c>
      <c r="K68" s="25">
        <v>2422</v>
      </c>
      <c r="L68" s="25">
        <v>24</v>
      </c>
      <c r="M68">
        <v>211</v>
      </c>
      <c r="N68" s="25">
        <f t="shared" si="0"/>
        <v>11286</v>
      </c>
      <c r="O68" s="25">
        <f t="shared" si="1"/>
        <v>11286</v>
      </c>
      <c r="P68" s="25">
        <f t="shared" si="2"/>
        <v>27086.399999999998</v>
      </c>
      <c r="Q68" s="25">
        <f>2.5*Population!U68+1.25*(Population!V68-Population!U68)</f>
        <v>39675.455289645943</v>
      </c>
      <c r="R68">
        <v>2905</v>
      </c>
      <c r="S68" s="33">
        <f t="shared" si="3"/>
        <v>2680</v>
      </c>
      <c r="T68">
        <f>+A68</f>
        <v>1765</v>
      </c>
      <c r="U68" s="25">
        <f t="shared" si="4"/>
        <v>45260.455289645943</v>
      </c>
      <c r="V68" s="25">
        <f t="shared" si="5"/>
        <v>27086.399999999998</v>
      </c>
      <c r="W68">
        <v>2.4</v>
      </c>
      <c r="X68">
        <v>67</v>
      </c>
      <c r="Y68" s="25">
        <f>+'Livestock in possession'!AD67/1000</f>
        <v>5500.3399631057619</v>
      </c>
      <c r="Z68" s="40">
        <f>+('Meat supplied to the Company'!Q67*0.2+'Meat supplied to the Company'!R67*0.8)</f>
        <v>6.7142857142857143E-2</v>
      </c>
      <c r="AA68" s="25">
        <f t="shared" si="6"/>
        <v>369.30854037995829</v>
      </c>
      <c r="AB68" s="25">
        <f>+'Export of butter'!B14*0.3*0.002</f>
        <v>29.6706</v>
      </c>
      <c r="AC68" s="25">
        <f t="shared" si="7"/>
        <v>398.97914037995827</v>
      </c>
      <c r="AD68" s="25"/>
      <c r="AE68" s="24">
        <f>+'Exports in money value'!J70</f>
        <v>6.3999999999999995</v>
      </c>
      <c r="AF68" s="25">
        <f t="shared" si="8"/>
        <v>231.509936926867</v>
      </c>
      <c r="AG68" s="41">
        <v>62.832762256193995</v>
      </c>
      <c r="AH68" s="25">
        <f t="shared" si="9"/>
        <v>407.86871416269395</v>
      </c>
      <c r="AI68" s="25">
        <v>392.87824706362977</v>
      </c>
      <c r="AJ68" s="25">
        <f t="shared" si="10"/>
        <v>1431.236038533149</v>
      </c>
      <c r="AK68" s="24">
        <f t="shared" si="11"/>
        <v>0.27876543745283666</v>
      </c>
      <c r="AL68" s="24">
        <f t="shared" si="12"/>
        <v>0.16175524560165341</v>
      </c>
      <c r="AM68" s="24">
        <f t="shared" si="13"/>
        <v>0.28497655395871119</v>
      </c>
      <c r="AN68" s="25">
        <f>1000*AJ68/(Population!V68*0.596+Population!W68)</f>
        <v>118.04858845306512</v>
      </c>
      <c r="AO68" s="25"/>
      <c r="AP68" s="25">
        <f t="shared" si="14"/>
        <v>80</v>
      </c>
      <c r="AQ68" s="25">
        <f t="shared" si="15"/>
        <v>71.580871154431932</v>
      </c>
      <c r="AR68" s="25">
        <f t="shared" si="16"/>
        <v>107.223143781901</v>
      </c>
      <c r="AS68" s="25">
        <f t="shared" si="17"/>
        <v>85.641204480899887</v>
      </c>
      <c r="AT68" s="25">
        <f t="shared" si="18"/>
        <v>137.84087831155259</v>
      </c>
      <c r="AU68">
        <f>+A68</f>
        <v>1765</v>
      </c>
    </row>
    <row r="69" spans="1:47" x14ac:dyDescent="0.2">
      <c r="A69">
        <v>1766</v>
      </c>
      <c r="B69">
        <v>5155900</v>
      </c>
      <c r="C69" s="25">
        <v>3406</v>
      </c>
      <c r="D69" s="25">
        <f>+'Exports of wines'!C21</f>
        <v>456.53333333333336</v>
      </c>
      <c r="E69" s="25">
        <f>+C69-D69</f>
        <v>2949.4666666666667</v>
      </c>
      <c r="F69" s="24">
        <f>+E69/(Population!AE69+Population!AG69)</f>
        <v>0.40977192380089722</v>
      </c>
      <c r="G69" s="25">
        <f>+C69+(Population!V69-Population!AE69)*0.3</f>
        <v>7458.5898406093047</v>
      </c>
      <c r="H69" s="25">
        <v>2933</v>
      </c>
      <c r="I69" s="25">
        <v>23073</v>
      </c>
      <c r="J69" s="25">
        <v>369</v>
      </c>
      <c r="K69" s="25">
        <v>3660</v>
      </c>
      <c r="L69" s="25">
        <v>10</v>
      </c>
      <c r="M69">
        <v>89</v>
      </c>
      <c r="N69" s="25">
        <f t="shared" ref="N69:N83" si="19">SUM(M69,K69,I69)</f>
        <v>26822</v>
      </c>
      <c r="O69" s="25">
        <f t="shared" ref="O69:O98" si="20">+N69</f>
        <v>26822</v>
      </c>
      <c r="P69" s="25">
        <f t="shared" ref="P69:P98" si="21">+O69*W69</f>
        <v>64372.799999999996</v>
      </c>
      <c r="Q69" s="25">
        <f>2.5*Population!U69+1.25*(Population!V69-Population!U69)</f>
        <v>42450.411349715047</v>
      </c>
      <c r="R69">
        <v>16613</v>
      </c>
      <c r="S69" s="33">
        <f t="shared" ref="S69:S98" si="22">+X69*40</f>
        <v>2560</v>
      </c>
      <c r="T69">
        <f>+A69</f>
        <v>1766</v>
      </c>
      <c r="U69" s="25">
        <f t="shared" ref="U69:U98" si="23">+S69+R69+Q69</f>
        <v>61623.411349715047</v>
      </c>
      <c r="V69" s="25">
        <f t="shared" ref="V69:V98" si="24">+O69*W69</f>
        <v>64372.799999999996</v>
      </c>
      <c r="W69">
        <v>2.4</v>
      </c>
      <c r="X69">
        <v>64</v>
      </c>
      <c r="Y69" s="25">
        <f>+'Livestock in possession'!AD68/1000</f>
        <v>5913.7849386690059</v>
      </c>
      <c r="Z69" s="40">
        <f>+('Meat supplied to the Company'!Q68*0.2+'Meat supplied to the Company'!R68*0.8)</f>
        <v>6.7142857142857143E-2</v>
      </c>
      <c r="AA69" s="25">
        <f t="shared" ref="AA69:AA98" si="25">+Y69*Z69</f>
        <v>397.06841731063327</v>
      </c>
      <c r="AB69" s="25">
        <f>+'Export of butter'!B15*0.3*0.002</f>
        <v>9.5436000000000014</v>
      </c>
      <c r="AC69" s="25">
        <f t="shared" ref="AC69:AC98" si="26">+AB69+AA69</f>
        <v>406.61201731063329</v>
      </c>
      <c r="AD69" s="25"/>
      <c r="AE69" s="24">
        <f>+'Exports in money value'!J71</f>
        <v>6.3999999999999995</v>
      </c>
      <c r="AF69" s="25">
        <f t="shared" ref="AF69:AF98" si="27">+AE69*(U69+V69)/2000</f>
        <v>403.1878763190881</v>
      </c>
      <c r="AG69" s="41">
        <v>61.096962616822431</v>
      </c>
      <c r="AH69" s="25">
        <f t="shared" ref="AH69:AH98" si="28">+AG69*G69/1000</f>
        <v>455.69718466591826</v>
      </c>
      <c r="AI69" s="25">
        <v>348.94282973700962</v>
      </c>
      <c r="AJ69" s="25">
        <f t="shared" ref="AJ69:AJ98" si="29">+AH69+AF69+AC69+AI69</f>
        <v>1614.4399080326493</v>
      </c>
      <c r="AK69" s="24">
        <f t="shared" ref="AK69:AK98" si="30">+AC69/AJ69</f>
        <v>0.25185949336827856</v>
      </c>
      <c r="AL69" s="24">
        <f t="shared" ref="AL69:AL96" si="31">+AF69/AJ69</f>
        <v>0.24973854667059822</v>
      </c>
      <c r="AM69" s="24">
        <f t="shared" ref="AM69:AM96" si="32">+AH69/AJ69</f>
        <v>0.28226333008654947</v>
      </c>
      <c r="AN69" s="25">
        <f>1000*AJ69/(Population!V69*0.596+Population!W69)</f>
        <v>120.31887394098209</v>
      </c>
      <c r="AO69" s="25"/>
      <c r="AP69" s="25">
        <f t="shared" ref="AP69:AP96" si="33">+AE69*100/8</f>
        <v>80</v>
      </c>
      <c r="AQ69" s="25">
        <f t="shared" ref="AQ69:AQ96" si="34">+Z69*100/0.0938</f>
        <v>71.580871154431932</v>
      </c>
      <c r="AR69" s="25">
        <f t="shared" ref="AR69:AR96" si="35">+AG69*100/58.6</f>
        <v>104.26102835635227</v>
      </c>
      <c r="AS69" s="25">
        <f t="shared" ref="AS69:AS96" si="36">+AP69*0.4+AQ69*0.3+AR69*0.3</f>
        <v>84.752569853235258</v>
      </c>
      <c r="AT69" s="25">
        <f t="shared" ref="AT69:AT96" si="37">100*AN69/AS69</f>
        <v>141.96486802622795</v>
      </c>
      <c r="AU69">
        <f>+A69</f>
        <v>1766</v>
      </c>
    </row>
    <row r="70" spans="1:47" x14ac:dyDescent="0.2">
      <c r="A70">
        <v>1767</v>
      </c>
      <c r="B70">
        <v>5265000</v>
      </c>
      <c r="C70" s="25">
        <v>3521</v>
      </c>
      <c r="D70" s="25">
        <f>+'Exports of wines'!C22</f>
        <v>440.53333333333336</v>
      </c>
      <c r="E70" s="25">
        <f>+C70-D70</f>
        <v>3080.4666666666667</v>
      </c>
      <c r="F70" s="24">
        <f>+E70/(Population!AE70+Population!AG70)</f>
        <v>0.44639053547181184</v>
      </c>
      <c r="G70" s="25">
        <f>+C70+(Population!V70-Population!AE70)*0.3</f>
        <v>7373.7233294768866</v>
      </c>
      <c r="H70" s="25">
        <v>2538</v>
      </c>
      <c r="I70" s="25">
        <v>15178</v>
      </c>
      <c r="J70" s="25">
        <v>209</v>
      </c>
      <c r="K70" s="25">
        <v>2250</v>
      </c>
      <c r="L70" s="25">
        <v>26.5</v>
      </c>
      <c r="M70">
        <v>389</v>
      </c>
      <c r="N70" s="25">
        <f t="shared" si="19"/>
        <v>17817</v>
      </c>
      <c r="O70" s="25">
        <f t="shared" si="20"/>
        <v>17817</v>
      </c>
      <c r="P70" s="25">
        <f t="shared" si="21"/>
        <v>42760.799999999996</v>
      </c>
      <c r="Q70" s="25">
        <f>2.5*Population!U70+1.25*(Population!V70-Population!U70)</f>
        <v>41097.060835677417</v>
      </c>
      <c r="R70">
        <v>11941</v>
      </c>
      <c r="S70" s="33">
        <f t="shared" si="22"/>
        <v>3000</v>
      </c>
      <c r="T70">
        <f>+A70</f>
        <v>1767</v>
      </c>
      <c r="U70" s="25">
        <f t="shared" si="23"/>
        <v>56038.060835677417</v>
      </c>
      <c r="V70" s="25">
        <f t="shared" si="24"/>
        <v>42760.799999999996</v>
      </c>
      <c r="W70">
        <v>2.4</v>
      </c>
      <c r="X70">
        <v>75</v>
      </c>
      <c r="Y70" s="25">
        <f>+'Livestock in possession'!AD69/1000</f>
        <v>6265.9668077016859</v>
      </c>
      <c r="Z70" s="40">
        <f>+('Meat supplied to the Company'!Q69*0.2+'Meat supplied to the Company'!R69*0.8)</f>
        <v>6.7142857142857143E-2</v>
      </c>
      <c r="AA70" s="25">
        <f t="shared" si="25"/>
        <v>420.71491423139889</v>
      </c>
      <c r="AB70" s="25">
        <f>+'Export of butter'!B16*0.3*0.002</f>
        <v>9.5868000000000002</v>
      </c>
      <c r="AC70" s="25">
        <f t="shared" si="26"/>
        <v>430.30171423139888</v>
      </c>
      <c r="AD70" s="25"/>
      <c r="AE70" s="24">
        <f>+'Exports in money value'!J72</f>
        <v>6.3999999999999995</v>
      </c>
      <c r="AF70" s="25">
        <f t="shared" si="27"/>
        <v>316.15635467416769</v>
      </c>
      <c r="AG70" s="41">
        <v>62.324455205811141</v>
      </c>
      <c r="AH70" s="25">
        <f t="shared" si="28"/>
        <v>459.56328934802679</v>
      </c>
      <c r="AI70" s="25">
        <v>366.97607887370111</v>
      </c>
      <c r="AJ70" s="25">
        <f t="shared" si="29"/>
        <v>1572.9974371272942</v>
      </c>
      <c r="AK70" s="24">
        <f t="shared" si="30"/>
        <v>0.27355525449376616</v>
      </c>
      <c r="AL70" s="24">
        <f t="shared" si="31"/>
        <v>0.20098974557234631</v>
      </c>
      <c r="AM70" s="24">
        <f t="shared" si="32"/>
        <v>0.29215768474951226</v>
      </c>
      <c r="AN70" s="25">
        <f>1000*AJ70/(Population!V70*0.596+Population!W70)</f>
        <v>120.45881827600302</v>
      </c>
      <c r="AO70" s="25"/>
      <c r="AP70" s="25">
        <f t="shared" si="33"/>
        <v>80</v>
      </c>
      <c r="AQ70" s="25">
        <f t="shared" si="34"/>
        <v>71.580871154431932</v>
      </c>
      <c r="AR70" s="25">
        <f t="shared" si="35"/>
        <v>106.35572560718624</v>
      </c>
      <c r="AS70" s="25">
        <f t="shared" si="36"/>
        <v>85.380979028485456</v>
      </c>
      <c r="AT70" s="25">
        <f t="shared" si="37"/>
        <v>141.08390375310012</v>
      </c>
      <c r="AU70">
        <f>+A70</f>
        <v>1767</v>
      </c>
    </row>
    <row r="71" spans="1:47" x14ac:dyDescent="0.2">
      <c r="A71">
        <v>1768</v>
      </c>
      <c r="B71">
        <v>5815000</v>
      </c>
      <c r="C71" s="25">
        <v>3772</v>
      </c>
      <c r="D71" s="25">
        <f>+'Exports of wines'!C23</f>
        <v>435.2</v>
      </c>
      <c r="E71" s="25">
        <f>+C71-D71</f>
        <v>3336.8</v>
      </c>
      <c r="F71" s="24">
        <f>+E71/(Population!AE71+Population!AG71)</f>
        <v>0.48140731774259277</v>
      </c>
      <c r="G71" s="25">
        <f>+C71+(Population!V71-Population!AE71)*0.3</f>
        <v>7639.396642202797</v>
      </c>
      <c r="H71" s="25">
        <v>2497</v>
      </c>
      <c r="I71" s="25">
        <v>13914</v>
      </c>
      <c r="J71" s="25">
        <v>184</v>
      </c>
      <c r="K71" s="25">
        <v>1818</v>
      </c>
      <c r="L71" s="25">
        <v>11</v>
      </c>
      <c r="M71">
        <v>166</v>
      </c>
      <c r="N71" s="25">
        <f t="shared" si="19"/>
        <v>15898</v>
      </c>
      <c r="O71" s="25">
        <f t="shared" si="20"/>
        <v>15898</v>
      </c>
      <c r="P71" s="25">
        <f t="shared" si="21"/>
        <v>38155.199999999997</v>
      </c>
      <c r="Q71" s="25">
        <f>2.5*Population!U71+1.25*(Population!V71-Population!U71)</f>
        <v>41345.798036317356</v>
      </c>
      <c r="R71">
        <v>10838</v>
      </c>
      <c r="S71" s="33">
        <f t="shared" si="22"/>
        <v>2640</v>
      </c>
      <c r="T71">
        <f>+A71</f>
        <v>1768</v>
      </c>
      <c r="U71" s="25">
        <f t="shared" si="23"/>
        <v>54823.798036317356</v>
      </c>
      <c r="V71" s="25">
        <f t="shared" si="24"/>
        <v>38155.199999999997</v>
      </c>
      <c r="W71">
        <v>2.4</v>
      </c>
      <c r="X71">
        <v>66</v>
      </c>
      <c r="Y71" s="25">
        <f>+'Livestock in possession'!AD70/1000</f>
        <v>6476.5640708867541</v>
      </c>
      <c r="Z71" s="40">
        <f>+('Meat supplied to the Company'!Q70*0.2+'Meat supplied to the Company'!R70*0.8)</f>
        <v>6.7142857142857143E-2</v>
      </c>
      <c r="AA71" s="25">
        <f t="shared" si="25"/>
        <v>434.85501618811065</v>
      </c>
      <c r="AB71" s="25">
        <f>+'Export of butter'!B17*0.3*0.002</f>
        <v>3.4722</v>
      </c>
      <c r="AC71" s="25">
        <f t="shared" si="26"/>
        <v>438.32721618811064</v>
      </c>
      <c r="AD71" s="25"/>
      <c r="AE71" s="24">
        <f>+'Exports in money value'!J73</f>
        <v>6.3999999999999995</v>
      </c>
      <c r="AF71" s="25">
        <f t="shared" si="27"/>
        <v>297.53279371621551</v>
      </c>
      <c r="AG71" s="41">
        <v>63.375</v>
      </c>
      <c r="AH71" s="25">
        <f t="shared" si="28"/>
        <v>484.14676219960228</v>
      </c>
      <c r="AI71" s="25">
        <v>397.33858114906764</v>
      </c>
      <c r="AJ71" s="25">
        <f t="shared" si="29"/>
        <v>1617.3453532529961</v>
      </c>
      <c r="AK71" s="24">
        <f t="shared" si="30"/>
        <v>0.27101646244353139</v>
      </c>
      <c r="AL71" s="24">
        <f t="shared" si="31"/>
        <v>0.18396367425038962</v>
      </c>
      <c r="AM71" s="24">
        <f t="shared" si="32"/>
        <v>0.29934655651981135</v>
      </c>
      <c r="AN71" s="25">
        <f>1000*AJ71/(Population!V71*0.596+Population!W71)</f>
        <v>121.43691385084684</v>
      </c>
      <c r="AO71" s="25"/>
      <c r="AP71" s="25">
        <f t="shared" si="33"/>
        <v>80</v>
      </c>
      <c r="AQ71" s="25">
        <f t="shared" si="34"/>
        <v>71.580871154431932</v>
      </c>
      <c r="AR71" s="25">
        <f t="shared" si="35"/>
        <v>108.14846416382252</v>
      </c>
      <c r="AS71" s="25">
        <f t="shared" si="36"/>
        <v>85.918800595476341</v>
      </c>
      <c r="AT71" s="25">
        <f t="shared" si="37"/>
        <v>141.33916326718432</v>
      </c>
      <c r="AU71">
        <f>+A71</f>
        <v>1768</v>
      </c>
    </row>
    <row r="72" spans="1:47" x14ac:dyDescent="0.2">
      <c r="A72">
        <v>1769</v>
      </c>
      <c r="B72">
        <v>5852000</v>
      </c>
      <c r="C72" s="25">
        <v>4624.5</v>
      </c>
      <c r="D72" s="25">
        <f>+'Exports of wines'!C24</f>
        <v>429.86666666666667</v>
      </c>
      <c r="E72" s="25">
        <f>+C72-D72</f>
        <v>4194.6333333333332</v>
      </c>
      <c r="F72" s="24">
        <f>+E72/(Population!AE72+Population!AG72)</f>
        <v>0.57986425627854021</v>
      </c>
      <c r="G72" s="25">
        <f>+C72+(Population!V72-Population!AE72)*0.3</f>
        <v>8576.1914223580097</v>
      </c>
      <c r="H72" s="25">
        <v>2303</v>
      </c>
      <c r="I72" s="25">
        <v>12953</v>
      </c>
      <c r="J72" s="25">
        <v>163</v>
      </c>
      <c r="K72" s="25">
        <v>1652</v>
      </c>
      <c r="L72" s="25">
        <v>1</v>
      </c>
      <c r="M72">
        <v>10</v>
      </c>
      <c r="N72" s="25">
        <f t="shared" si="19"/>
        <v>14615</v>
      </c>
      <c r="O72" s="25">
        <f t="shared" si="20"/>
        <v>14615</v>
      </c>
      <c r="P72" s="25">
        <f t="shared" si="21"/>
        <v>39460.5</v>
      </c>
      <c r="Q72" s="25">
        <f>2.5*Population!U72+1.25*(Population!V72-Population!U72)</f>
        <v>42204.50511199006</v>
      </c>
      <c r="R72">
        <v>12312</v>
      </c>
      <c r="S72" s="33">
        <f t="shared" si="22"/>
        <v>3680</v>
      </c>
      <c r="T72">
        <f>+A72</f>
        <v>1769</v>
      </c>
      <c r="U72" s="25">
        <f t="shared" si="23"/>
        <v>58196.50511199006</v>
      </c>
      <c r="V72" s="25">
        <f t="shared" si="24"/>
        <v>39460.5</v>
      </c>
      <c r="W72">
        <v>2.7</v>
      </c>
      <c r="X72">
        <v>92</v>
      </c>
      <c r="Y72" s="25">
        <f>+'Livestock in possession'!AD71/1000</f>
        <v>6695.7083381369666</v>
      </c>
      <c r="Z72" s="40">
        <f>+('Meat supplied to the Company'!Q71*0.2+'Meat supplied to the Company'!R71*0.8)</f>
        <v>6.339285714285714E-2</v>
      </c>
      <c r="AA72" s="25">
        <f t="shared" si="25"/>
        <v>424.4600821497541</v>
      </c>
      <c r="AB72" s="25">
        <f>+'Export of butter'!B18*0.3*0.002</f>
        <v>4.6643999999999997</v>
      </c>
      <c r="AC72" s="25">
        <f t="shared" si="26"/>
        <v>429.1244821497541</v>
      </c>
      <c r="AD72" s="25"/>
      <c r="AE72" s="24">
        <f>+'Exports in money value'!J74</f>
        <v>6.4</v>
      </c>
      <c r="AF72" s="25">
        <f t="shared" si="27"/>
        <v>312.50241635836818</v>
      </c>
      <c r="AG72" s="41">
        <v>63.145161290322584</v>
      </c>
      <c r="AH72" s="25">
        <f t="shared" si="28"/>
        <v>541.54499062147761</v>
      </c>
      <c r="AI72" s="25">
        <v>321.05922240322377</v>
      </c>
      <c r="AJ72" s="25">
        <f t="shared" si="29"/>
        <v>1604.2311115328239</v>
      </c>
      <c r="AK72" s="24">
        <f t="shared" si="30"/>
        <v>0.26749542448390168</v>
      </c>
      <c r="AL72" s="24">
        <f t="shared" si="31"/>
        <v>0.1947988753688836</v>
      </c>
      <c r="AM72" s="24">
        <f t="shared" si="32"/>
        <v>0.33757292620016438</v>
      </c>
      <c r="AN72" s="25">
        <f>1000*AJ72/(Population!V72*0.596+Population!W72)</f>
        <v>115.97877895235192</v>
      </c>
      <c r="AO72" s="25"/>
      <c r="AP72" s="25">
        <f t="shared" si="33"/>
        <v>80</v>
      </c>
      <c r="AQ72" s="25">
        <f t="shared" si="34"/>
        <v>67.58300335059397</v>
      </c>
      <c r="AR72" s="25">
        <f t="shared" si="35"/>
        <v>107.75624793570407</v>
      </c>
      <c r="AS72" s="25">
        <f t="shared" si="36"/>
        <v>84.601775385889411</v>
      </c>
      <c r="AT72" s="25">
        <f t="shared" si="37"/>
        <v>137.0878783847553</v>
      </c>
      <c r="AU72">
        <f>+A72</f>
        <v>1769</v>
      </c>
    </row>
    <row r="73" spans="1:47" x14ac:dyDescent="0.2">
      <c r="A73">
        <v>1770</v>
      </c>
      <c r="B73">
        <v>5853000</v>
      </c>
      <c r="C73" s="25">
        <v>3976</v>
      </c>
      <c r="D73" s="25">
        <f>+'Exports of wines'!C25</f>
        <v>413.86666666666667</v>
      </c>
      <c r="E73" s="25">
        <f>+C73-D73</f>
        <v>3562.1333333333332</v>
      </c>
      <c r="F73" s="24">
        <f>+E73/(Population!AE73+Population!AG73)</f>
        <v>0.49114973904092457</v>
      </c>
      <c r="G73" s="25">
        <f>+C73+(Population!V73-Population!AE73)*0.3</f>
        <v>8009.5933006091464</v>
      </c>
      <c r="H73" s="25">
        <v>2374</v>
      </c>
      <c r="I73" s="25">
        <v>14276</v>
      </c>
      <c r="J73" s="25">
        <v>165</v>
      </c>
      <c r="K73" s="25">
        <v>1605</v>
      </c>
      <c r="L73" s="25">
        <v>4</v>
      </c>
      <c r="M73">
        <v>65</v>
      </c>
      <c r="N73" s="25">
        <f t="shared" si="19"/>
        <v>15946</v>
      </c>
      <c r="O73" s="25">
        <f t="shared" si="20"/>
        <v>15946</v>
      </c>
      <c r="P73" s="25">
        <f t="shared" si="21"/>
        <v>43054.200000000004</v>
      </c>
      <c r="Q73" s="25">
        <f>2.5*Population!U73+1.25*(Population!V73-Population!U73)</f>
        <v>42884.191926854779</v>
      </c>
      <c r="R73">
        <v>14240</v>
      </c>
      <c r="S73" s="33">
        <f t="shared" si="22"/>
        <v>3120</v>
      </c>
      <c r="T73">
        <f>+A73</f>
        <v>1770</v>
      </c>
      <c r="U73" s="25">
        <f t="shared" si="23"/>
        <v>60244.191926854779</v>
      </c>
      <c r="V73" s="25">
        <f t="shared" si="24"/>
        <v>43054.200000000004</v>
      </c>
      <c r="W73">
        <v>2.7</v>
      </c>
      <c r="X73">
        <v>78</v>
      </c>
      <c r="Y73" s="25">
        <f>+'Livestock in possession'!AD72/1000</f>
        <v>6911.9592781001284</v>
      </c>
      <c r="Z73" s="40">
        <f>+('Meat supplied to the Company'!Q72*0.2+'Meat supplied to the Company'!R72*0.8)</f>
        <v>6.339285714285714E-2</v>
      </c>
      <c r="AA73" s="25">
        <f t="shared" si="25"/>
        <v>438.16884709384738</v>
      </c>
      <c r="AB73" s="25">
        <f>+'Export of butter'!B19*0.3*0.002</f>
        <v>16.786799999999999</v>
      </c>
      <c r="AC73" s="25">
        <f t="shared" si="26"/>
        <v>454.95564709384735</v>
      </c>
      <c r="AD73" s="25"/>
      <c r="AE73" s="24">
        <f>+'Exports in money value'!J75</f>
        <v>5.8666666666666663</v>
      </c>
      <c r="AF73" s="25">
        <f t="shared" si="27"/>
        <v>303.00861631877399</v>
      </c>
      <c r="AG73" s="41">
        <v>58.116784793814439</v>
      </c>
      <c r="AH73" s="25">
        <f t="shared" si="28"/>
        <v>465.4918101374796</v>
      </c>
      <c r="AI73" s="25">
        <v>406.34952306273107</v>
      </c>
      <c r="AJ73" s="25">
        <f t="shared" si="29"/>
        <v>1629.805596612832</v>
      </c>
      <c r="AK73" s="24">
        <f t="shared" si="30"/>
        <v>0.27914718665794608</v>
      </c>
      <c r="AL73" s="24">
        <f t="shared" si="31"/>
        <v>0.18591703019581365</v>
      </c>
      <c r="AM73" s="24">
        <f t="shared" si="32"/>
        <v>0.28561186138082661</v>
      </c>
      <c r="AN73" s="25">
        <f>1000*AJ73/(Population!V73*0.596+Population!W73)</f>
        <v>113.49405318041551</v>
      </c>
      <c r="AO73" s="25"/>
      <c r="AP73" s="25">
        <f t="shared" si="33"/>
        <v>73.333333333333329</v>
      </c>
      <c r="AQ73" s="25">
        <f t="shared" si="34"/>
        <v>67.58300335059397</v>
      </c>
      <c r="AR73" s="25">
        <f t="shared" si="35"/>
        <v>99.175400672038293</v>
      </c>
      <c r="AS73" s="25">
        <f t="shared" si="36"/>
        <v>79.360854540123</v>
      </c>
      <c r="AT73" s="25">
        <f t="shared" si="37"/>
        <v>143.01011983563706</v>
      </c>
      <c r="AU73">
        <f>+A73</f>
        <v>1770</v>
      </c>
    </row>
    <row r="74" spans="1:47" x14ac:dyDescent="0.2">
      <c r="A74">
        <v>1771</v>
      </c>
      <c r="B74">
        <v>5976000</v>
      </c>
      <c r="C74" s="25">
        <v>3784</v>
      </c>
      <c r="D74" s="25">
        <f>+'Exports of wines'!C26</f>
        <v>429.86666666666667</v>
      </c>
      <c r="E74" s="25">
        <f>+C74-D74</f>
        <v>3354.1333333333332</v>
      </c>
      <c r="F74" s="24">
        <f>+E74/(Population!AE74+Population!AG74)</f>
        <v>0.42037224843602133</v>
      </c>
      <c r="G74" s="25">
        <f>+C74+(Population!V74-Population!AE74)*0.3</f>
        <v>7982.7076457314133</v>
      </c>
      <c r="H74" s="25">
        <v>2557</v>
      </c>
      <c r="I74" s="25">
        <v>14244</v>
      </c>
      <c r="J74" s="25">
        <v>169</v>
      </c>
      <c r="K74" s="25">
        <v>1714</v>
      </c>
      <c r="L74" s="25">
        <v>1</v>
      </c>
      <c r="M74">
        <v>5</v>
      </c>
      <c r="N74" s="25">
        <f t="shared" si="19"/>
        <v>15963</v>
      </c>
      <c r="O74" s="25">
        <f t="shared" si="20"/>
        <v>15963</v>
      </c>
      <c r="P74" s="25">
        <f t="shared" si="21"/>
        <v>43100.100000000006</v>
      </c>
      <c r="Q74" s="25">
        <f>2.5*Population!U74+1.25*(Population!V74-Population!U74)</f>
        <v>44764.612033371472</v>
      </c>
      <c r="R74">
        <v>12335</v>
      </c>
      <c r="S74" s="33">
        <f t="shared" si="22"/>
        <v>3760</v>
      </c>
      <c r="T74">
        <f>+A74</f>
        <v>1771</v>
      </c>
      <c r="U74" s="25">
        <f t="shared" si="23"/>
        <v>60859.612033371472</v>
      </c>
      <c r="V74" s="25">
        <f t="shared" si="24"/>
        <v>43100.100000000006</v>
      </c>
      <c r="W74">
        <v>2.7</v>
      </c>
      <c r="X74">
        <v>94</v>
      </c>
      <c r="Y74" s="25">
        <f>+'Livestock in possession'!AD73/1000</f>
        <v>7327.2256294013123</v>
      </c>
      <c r="Z74" s="40">
        <f>+('Meat supplied to the Company'!Q73*0.2+'Meat supplied to the Company'!R73*0.8)</f>
        <v>6.339285714285714E-2</v>
      </c>
      <c r="AA74" s="25">
        <f t="shared" si="25"/>
        <v>464.49376757811888</v>
      </c>
      <c r="AB74" s="25">
        <f>+'Export of butter'!B20*0.3*0.002</f>
        <v>16.745999999999999</v>
      </c>
      <c r="AC74" s="25">
        <f t="shared" si="26"/>
        <v>481.23976757811886</v>
      </c>
      <c r="AD74" s="25"/>
      <c r="AE74" s="24">
        <f>+'Exports in money value'!J76</f>
        <v>5.8666666666666663</v>
      </c>
      <c r="AF74" s="25">
        <f t="shared" si="27"/>
        <v>304.94848863122297</v>
      </c>
      <c r="AG74" s="41">
        <v>57.650201612903217</v>
      </c>
      <c r="AH74" s="25">
        <f t="shared" si="28"/>
        <v>460.20470519327995</v>
      </c>
      <c r="AI74" s="25">
        <v>407.74563291209893</v>
      </c>
      <c r="AJ74" s="25">
        <f t="shared" si="29"/>
        <v>1654.1385943147209</v>
      </c>
      <c r="AK74" s="24">
        <f t="shared" si="30"/>
        <v>0.29093074137326902</v>
      </c>
      <c r="AL74" s="24">
        <f t="shared" si="31"/>
        <v>0.18435485979187705</v>
      </c>
      <c r="AM74" s="24">
        <f t="shared" si="32"/>
        <v>0.27821411505360244</v>
      </c>
      <c r="AN74" s="25">
        <f>1000*AJ74/(Population!V74*0.596+Population!W74)</f>
        <v>108.70371536399355</v>
      </c>
      <c r="AO74" s="25"/>
      <c r="AP74" s="25">
        <f t="shared" si="33"/>
        <v>73.333333333333329</v>
      </c>
      <c r="AQ74" s="25">
        <f t="shared" si="34"/>
        <v>67.58300335059397</v>
      </c>
      <c r="AR74" s="25">
        <f t="shared" si="35"/>
        <v>98.37918363976658</v>
      </c>
      <c r="AS74" s="25">
        <f t="shared" si="36"/>
        <v>79.121989430441488</v>
      </c>
      <c r="AT74" s="25">
        <f t="shared" si="37"/>
        <v>137.38749005996399</v>
      </c>
      <c r="AU74">
        <f>+A74</f>
        <v>1771</v>
      </c>
    </row>
    <row r="75" spans="1:47" x14ac:dyDescent="0.2">
      <c r="A75">
        <v>1772</v>
      </c>
      <c r="B75">
        <v>5761000</v>
      </c>
      <c r="C75" s="25">
        <v>1934.5</v>
      </c>
      <c r="D75" s="25">
        <f>+'Exports of wines'!C27</f>
        <v>512</v>
      </c>
      <c r="E75" s="25">
        <f>+C75-D75</f>
        <v>1422.5</v>
      </c>
      <c r="F75" s="24">
        <f>+E75/(Population!AE75+Population!AG75)</f>
        <v>0.17116812854422356</v>
      </c>
      <c r="G75" s="25">
        <f>+C75+(Population!V75-Population!AE75)*0.3</f>
        <v>6256.0061624099581</v>
      </c>
      <c r="H75" s="25">
        <v>2780</v>
      </c>
      <c r="I75" s="25">
        <v>17480</v>
      </c>
      <c r="J75" s="25">
        <v>226</v>
      </c>
      <c r="K75" s="25">
        <v>2126</v>
      </c>
      <c r="L75" s="25">
        <v>19</v>
      </c>
      <c r="M75">
        <v>216</v>
      </c>
      <c r="N75" s="25">
        <f t="shared" si="19"/>
        <v>19822</v>
      </c>
      <c r="O75" s="25">
        <f t="shared" si="20"/>
        <v>19822</v>
      </c>
      <c r="P75" s="25">
        <f t="shared" si="21"/>
        <v>53519.4</v>
      </c>
      <c r="Q75" s="25">
        <f>2.5*Population!U75+1.25*(Population!V75-Population!U75)</f>
        <v>46241.132784378904</v>
      </c>
      <c r="R75">
        <v>16972</v>
      </c>
      <c r="S75" s="33">
        <f t="shared" si="22"/>
        <v>4720</v>
      </c>
      <c r="T75">
        <f>+A75</f>
        <v>1772</v>
      </c>
      <c r="U75" s="25">
        <f t="shared" si="23"/>
        <v>67933.132784378904</v>
      </c>
      <c r="V75" s="25">
        <f t="shared" si="24"/>
        <v>53519.4</v>
      </c>
      <c r="W75">
        <v>2.7</v>
      </c>
      <c r="X75">
        <v>118</v>
      </c>
      <c r="Y75" s="25">
        <f>+'Livestock in possession'!AD74/1000</f>
        <v>7732.332914587495</v>
      </c>
      <c r="Z75" s="40">
        <f>+('Meat supplied to the Company'!Q74*0.2+'Meat supplied to the Company'!R74*0.8)</f>
        <v>6.339285714285714E-2</v>
      </c>
      <c r="AA75" s="25">
        <f t="shared" si="25"/>
        <v>490.17467583545726</v>
      </c>
      <c r="AB75" s="25">
        <f>+'Export of butter'!B21*0.3*0.002</f>
        <v>13.791</v>
      </c>
      <c r="AC75" s="25">
        <f t="shared" si="26"/>
        <v>503.96567583545726</v>
      </c>
      <c r="AD75" s="25"/>
      <c r="AE75" s="24">
        <f>+'Exports in money value'!J77</f>
        <v>5.8668354430379734</v>
      </c>
      <c r="AF75" s="25">
        <f t="shared" si="27"/>
        <v>356.27101199306281</v>
      </c>
      <c r="AG75" s="41">
        <v>56.362109375000003</v>
      </c>
      <c r="AH75" s="25">
        <f t="shared" si="28"/>
        <v>352.60170357642409</v>
      </c>
      <c r="AI75" s="25">
        <v>386.29381499860284</v>
      </c>
      <c r="AJ75" s="25">
        <f t="shared" si="29"/>
        <v>1599.1322064035469</v>
      </c>
      <c r="AK75" s="24">
        <f t="shared" si="30"/>
        <v>0.31514947533254778</v>
      </c>
      <c r="AL75" s="24">
        <f t="shared" si="31"/>
        <v>0.22279021744819796</v>
      </c>
      <c r="AM75" s="24">
        <f t="shared" si="32"/>
        <v>0.22049565518377393</v>
      </c>
      <c r="AN75" s="25">
        <f>1000*AJ75/(Population!V75*0.596+Population!W75)</f>
        <v>100.47401943297329</v>
      </c>
      <c r="AO75" s="25"/>
      <c r="AP75" s="25">
        <f t="shared" si="33"/>
        <v>73.33544303797467</v>
      </c>
      <c r="AQ75" s="25">
        <f t="shared" si="34"/>
        <v>67.58300335059397</v>
      </c>
      <c r="AR75" s="25">
        <f t="shared" si="35"/>
        <v>96.181074018771326</v>
      </c>
      <c r="AS75" s="25">
        <f t="shared" si="36"/>
        <v>78.463400425999453</v>
      </c>
      <c r="AT75" s="25">
        <f t="shared" si="37"/>
        <v>128.05208401302022</v>
      </c>
      <c r="AU75">
        <f>+A75</f>
        <v>1772</v>
      </c>
    </row>
    <row r="76" spans="1:47" x14ac:dyDescent="0.2">
      <c r="A76">
        <v>1773</v>
      </c>
      <c r="B76">
        <v>7240000</v>
      </c>
      <c r="C76" s="25">
        <v>5332</v>
      </c>
      <c r="D76" s="25">
        <f>+'Exports of wines'!C28</f>
        <v>474.66666666666669</v>
      </c>
      <c r="E76" s="25">
        <f>+C76-D76</f>
        <v>4857.333333333333</v>
      </c>
      <c r="F76" s="24">
        <f>+E76/(Population!AE76+Population!AG76)</f>
        <v>0.58069402681150795</v>
      </c>
      <c r="G76" s="25">
        <f>+C76+(Population!V76-Population!AE76)*0.3</f>
        <v>9753.1910528528897</v>
      </c>
      <c r="H76" s="25">
        <v>3172</v>
      </c>
      <c r="I76" s="25">
        <v>24775</v>
      </c>
      <c r="J76" s="25">
        <v>170</v>
      </c>
      <c r="K76" s="25">
        <v>1830</v>
      </c>
      <c r="L76" s="25">
        <v>4</v>
      </c>
      <c r="M76">
        <v>52</v>
      </c>
      <c r="N76" s="25">
        <f t="shared" si="19"/>
        <v>26657</v>
      </c>
      <c r="O76" s="25">
        <f t="shared" si="20"/>
        <v>26657</v>
      </c>
      <c r="P76" s="25">
        <f t="shared" si="21"/>
        <v>71973.900000000009</v>
      </c>
      <c r="Q76" s="25">
        <f>2.5*Population!U76+1.25*(Population!V76-Population!U76)</f>
        <v>47282.042070133903</v>
      </c>
      <c r="R76">
        <v>28266</v>
      </c>
      <c r="S76" s="33">
        <f t="shared" si="22"/>
        <v>4520</v>
      </c>
      <c r="T76">
        <f>+A76</f>
        <v>1773</v>
      </c>
      <c r="U76" s="25">
        <f t="shared" si="23"/>
        <v>80068.042070133903</v>
      </c>
      <c r="V76" s="25">
        <f t="shared" si="24"/>
        <v>71973.900000000009</v>
      </c>
      <c r="W76">
        <v>2.7</v>
      </c>
      <c r="X76">
        <v>113</v>
      </c>
      <c r="Y76" s="25">
        <f>+'Livestock in possession'!AD75/1000</f>
        <v>8057.6363509723142</v>
      </c>
      <c r="Z76" s="40">
        <f>+('Meat supplied to the Company'!Q75*0.2+'Meat supplied to the Company'!R75*0.8)</f>
        <v>6.339285714285714E-2</v>
      </c>
      <c r="AA76" s="25">
        <f t="shared" si="25"/>
        <v>510.79659010628063</v>
      </c>
      <c r="AB76" s="25">
        <f>+'Export of butter'!B22*0.3*0.002</f>
        <v>13.899000000000001</v>
      </c>
      <c r="AC76" s="25">
        <f t="shared" si="26"/>
        <v>524.69559010628063</v>
      </c>
      <c r="AD76" s="25"/>
      <c r="AE76" s="24">
        <f>+'Exports in money value'!J78</f>
        <v>5.8668711656441719</v>
      </c>
      <c r="AF76" s="25">
        <f t="shared" si="27"/>
        <v>446.00524294990515</v>
      </c>
      <c r="AG76" s="41">
        <v>56.21313202247191</v>
      </c>
      <c r="AH76" s="25">
        <f t="shared" si="28"/>
        <v>548.25741629441131</v>
      </c>
      <c r="AI76" s="25">
        <v>619.32623613942292</v>
      </c>
      <c r="AJ76" s="25">
        <f t="shared" si="29"/>
        <v>2138.28448549002</v>
      </c>
      <c r="AK76" s="24">
        <f t="shared" si="30"/>
        <v>0.2453815634293576</v>
      </c>
      <c r="AL76" s="24">
        <f t="shared" si="31"/>
        <v>0.20858087217880009</v>
      </c>
      <c r="AM76" s="24">
        <f t="shared" si="32"/>
        <v>0.25640059590516551</v>
      </c>
      <c r="AN76" s="25">
        <f>1000*AJ76/(Population!V76*0.596+Population!W76)</f>
        <v>129.58226306974009</v>
      </c>
      <c r="AO76" s="25"/>
      <c r="AP76" s="25">
        <f t="shared" si="33"/>
        <v>73.335889570552155</v>
      </c>
      <c r="AQ76" s="25">
        <f t="shared" si="34"/>
        <v>67.58300335059397</v>
      </c>
      <c r="AR76" s="25">
        <f t="shared" si="35"/>
        <v>95.926846454730224</v>
      </c>
      <c r="AS76" s="25">
        <f t="shared" si="36"/>
        <v>78.387310769818129</v>
      </c>
      <c r="AT76" s="25">
        <f t="shared" si="37"/>
        <v>165.31025467917163</v>
      </c>
      <c r="AU76">
        <f>+A76</f>
        <v>1773</v>
      </c>
    </row>
    <row r="77" spans="1:47" x14ac:dyDescent="0.2">
      <c r="A77">
        <v>1774</v>
      </c>
      <c r="B77">
        <v>6809000</v>
      </c>
      <c r="C77" s="25">
        <v>2611</v>
      </c>
      <c r="D77" s="25">
        <f>+'Exports of wines'!C29</f>
        <v>477.86666666666667</v>
      </c>
      <c r="E77" s="25">
        <f>+C77-D77</f>
        <v>2133.1333333333332</v>
      </c>
      <c r="F77" s="24">
        <f>+E77/(Population!AE77+Population!AG77)</f>
        <v>0.24932535185564889</v>
      </c>
      <c r="G77" s="25">
        <f>+C77+(Population!V77-Population!AE77)*0.3</f>
        <v>7206.8099745274185</v>
      </c>
      <c r="H77" s="25">
        <v>3095</v>
      </c>
      <c r="I77" s="25">
        <v>18824</v>
      </c>
      <c r="J77" s="25">
        <v>204</v>
      </c>
      <c r="K77" s="25">
        <v>2356</v>
      </c>
      <c r="L77" s="25">
        <v>3</v>
      </c>
      <c r="M77">
        <v>30</v>
      </c>
      <c r="N77" s="25">
        <f t="shared" si="19"/>
        <v>21210</v>
      </c>
      <c r="O77" s="25">
        <f t="shared" si="20"/>
        <v>21210</v>
      </c>
      <c r="P77" s="25">
        <f t="shared" si="21"/>
        <v>63630</v>
      </c>
      <c r="Q77" s="25">
        <f>2.5*Population!U77+1.25*(Population!V77-Population!U77)</f>
        <v>49021.134588348148</v>
      </c>
      <c r="R77">
        <v>33047</v>
      </c>
      <c r="S77" s="33">
        <f t="shared" si="22"/>
        <v>5040</v>
      </c>
      <c r="T77">
        <f>+A77</f>
        <v>1774</v>
      </c>
      <c r="U77" s="25">
        <f t="shared" si="23"/>
        <v>87108.134588348155</v>
      </c>
      <c r="V77" s="25">
        <f t="shared" si="24"/>
        <v>63630</v>
      </c>
      <c r="W77" s="22">
        <v>3</v>
      </c>
      <c r="X77">
        <v>126</v>
      </c>
      <c r="Y77" s="25">
        <f>+'Livestock in possession'!AD76/1000</f>
        <v>8666.2530006560628</v>
      </c>
      <c r="Z77" s="40">
        <f>+('Meat supplied to the Company'!Q76*0.2+'Meat supplied to the Company'!R76*0.8)</f>
        <v>3.0416666666666672E-2</v>
      </c>
      <c r="AA77" s="25">
        <f t="shared" si="25"/>
        <v>263.59852876995529</v>
      </c>
      <c r="AB77" s="25">
        <f>+'Export of butter'!B23*0.3*0.002</f>
        <v>7.1718000000000002</v>
      </c>
      <c r="AC77" s="25">
        <f t="shared" si="26"/>
        <v>270.77032876995531</v>
      </c>
      <c r="AD77" s="25"/>
      <c r="AE77" s="24">
        <f>+'Exports in money value'!J79</f>
        <v>5.8670588235294119</v>
      </c>
      <c r="AF77" s="25">
        <f t="shared" si="27"/>
        <v>442.19475128946607</v>
      </c>
      <c r="AG77" s="41">
        <v>54.688685825892854</v>
      </c>
      <c r="AH77" s="25">
        <f t="shared" si="28"/>
        <v>394.13096650384085</v>
      </c>
      <c r="AI77" s="25">
        <v>866.16745586968375</v>
      </c>
      <c r="AJ77" s="25">
        <f t="shared" si="29"/>
        <v>1973.2635024329461</v>
      </c>
      <c r="AK77" s="24">
        <f t="shared" si="30"/>
        <v>0.13721954946012407</v>
      </c>
      <c r="AL77" s="24">
        <f t="shared" si="31"/>
        <v>0.22409310806400645</v>
      </c>
      <c r="AM77" s="24">
        <f t="shared" si="32"/>
        <v>0.19973559842255983</v>
      </c>
      <c r="AN77" s="25">
        <f>1000*AJ77/(Population!V77*0.596+Population!W77)</f>
        <v>113.09191816143984</v>
      </c>
      <c r="AO77" s="25"/>
      <c r="AP77" s="25">
        <f t="shared" si="33"/>
        <v>73.338235294117652</v>
      </c>
      <c r="AQ77" s="25">
        <f t="shared" si="34"/>
        <v>32.427149964463403</v>
      </c>
      <c r="AR77" s="25">
        <f t="shared" si="35"/>
        <v>93.325402433264259</v>
      </c>
      <c r="AS77" s="25">
        <f t="shared" si="36"/>
        <v>67.061059836965356</v>
      </c>
      <c r="AT77" s="25">
        <f t="shared" si="37"/>
        <v>168.64021898309068</v>
      </c>
      <c r="AU77">
        <f>+A77</f>
        <v>1774</v>
      </c>
    </row>
    <row r="78" spans="1:47" x14ac:dyDescent="0.2">
      <c r="A78">
        <v>1775</v>
      </c>
      <c r="B78">
        <v>6293000</v>
      </c>
      <c r="C78" s="25">
        <v>5528</v>
      </c>
      <c r="D78" s="25">
        <f>+'Exports of wines'!C30</f>
        <v>385.06666666666666</v>
      </c>
      <c r="E78" s="25">
        <f>+C78-D78</f>
        <v>5142.9333333333334</v>
      </c>
      <c r="F78" s="24">
        <f>+E78/(Population!AE78+Population!AG78)</f>
        <v>0.59554999926385133</v>
      </c>
      <c r="G78" s="25">
        <f>+C78+(Population!V78-Population!AE78)*0.3</f>
        <v>10208.656021431747</v>
      </c>
      <c r="H78" s="25">
        <v>3001</v>
      </c>
      <c r="I78" s="25">
        <v>17440</v>
      </c>
      <c r="J78" s="25">
        <v>190</v>
      </c>
      <c r="K78" s="25">
        <v>2033</v>
      </c>
      <c r="L78" s="25">
        <v>2</v>
      </c>
      <c r="M78">
        <v>20</v>
      </c>
      <c r="N78" s="25">
        <f t="shared" si="19"/>
        <v>19493</v>
      </c>
      <c r="O78" s="25">
        <f t="shared" si="20"/>
        <v>19493</v>
      </c>
      <c r="P78" s="25">
        <f t="shared" si="21"/>
        <v>58479</v>
      </c>
      <c r="Q78" s="25">
        <f>2.5*Population!U78+1.25*(Population!V78-Population!U78)</f>
        <v>49863.697030234602</v>
      </c>
      <c r="R78">
        <v>28004</v>
      </c>
      <c r="S78" s="33">
        <f t="shared" si="22"/>
        <v>4800</v>
      </c>
      <c r="T78">
        <f>+A78</f>
        <v>1775</v>
      </c>
      <c r="U78" s="25">
        <f t="shared" si="23"/>
        <v>82667.697030234602</v>
      </c>
      <c r="V78" s="25">
        <f t="shared" si="24"/>
        <v>58479</v>
      </c>
      <c r="W78" s="22">
        <v>3</v>
      </c>
      <c r="X78">
        <v>120</v>
      </c>
      <c r="Y78" s="25">
        <f>+'Livestock in possession'!AD77/1000</f>
        <v>8595.6395513733696</v>
      </c>
      <c r="Z78" s="40">
        <f>+('Meat supplied to the Company'!Q77*0.2+'Meat supplied to the Company'!R77*0.8)</f>
        <v>3.0416666666666672E-2</v>
      </c>
      <c r="AA78" s="25">
        <f t="shared" si="25"/>
        <v>261.45070302094001</v>
      </c>
      <c r="AB78" s="25">
        <f>+'Export of butter'!B24*0.3*0.002</f>
        <v>6.0515999999999996</v>
      </c>
      <c r="AC78" s="25">
        <f t="shared" si="26"/>
        <v>267.50230302094002</v>
      </c>
      <c r="AD78" s="25"/>
      <c r="AE78" s="24">
        <f>+'Exports in money value'!J80</f>
        <v>5.8669683257918557</v>
      </c>
      <c r="AF78" s="25">
        <f t="shared" si="27"/>
        <v>414.05160038326295</v>
      </c>
      <c r="AG78" s="41">
        <v>57.710006925207765</v>
      </c>
      <c r="AH78" s="25">
        <f t="shared" si="28"/>
        <v>589.14160969389013</v>
      </c>
      <c r="AI78" s="25">
        <v>628.68981368769903</v>
      </c>
      <c r="AJ78" s="25">
        <f t="shared" si="29"/>
        <v>1899.3853267857921</v>
      </c>
      <c r="AK78" s="24">
        <f t="shared" si="30"/>
        <v>0.14083624804747596</v>
      </c>
      <c r="AL78" s="24">
        <f t="shared" si="31"/>
        <v>0.21799241814926301</v>
      </c>
      <c r="AM78" s="24">
        <f t="shared" si="32"/>
        <v>0.31017487678019323</v>
      </c>
      <c r="AN78" s="25">
        <f>1000*AJ78/(Population!V78*0.596+Population!W78)</f>
        <v>105.04429085785637</v>
      </c>
      <c r="AO78" s="25"/>
      <c r="AP78" s="25">
        <f t="shared" si="33"/>
        <v>73.337104072398191</v>
      </c>
      <c r="AQ78" s="25">
        <f t="shared" si="34"/>
        <v>32.427149964463403</v>
      </c>
      <c r="AR78" s="25">
        <f t="shared" si="35"/>
        <v>98.48124048670266</v>
      </c>
      <c r="AS78" s="25">
        <f t="shared" si="36"/>
        <v>68.607358764309097</v>
      </c>
      <c r="AT78" s="25">
        <f t="shared" si="37"/>
        <v>153.1093642865938</v>
      </c>
      <c r="AU78">
        <f>+A78</f>
        <v>1775</v>
      </c>
    </row>
    <row r="79" spans="1:47" x14ac:dyDescent="0.2">
      <c r="A79">
        <v>1776</v>
      </c>
      <c r="B79">
        <v>8271200</v>
      </c>
      <c r="C79" s="25">
        <v>4223</v>
      </c>
      <c r="D79" s="25">
        <f>+'Exports of wines'!C31</f>
        <v>466.13333333333333</v>
      </c>
      <c r="E79" s="25">
        <f>+C79-D79</f>
        <v>3756.8666666666668</v>
      </c>
      <c r="F79" s="24">
        <f>+E79/(Population!AE79+Population!AG79)</f>
        <v>0.40917787048306836</v>
      </c>
      <c r="G79" s="25">
        <f>+C79+(Population!V79-Population!AE79)*0.3</f>
        <v>9214.6132886061314</v>
      </c>
      <c r="H79" s="25">
        <v>2828</v>
      </c>
      <c r="I79" s="25">
        <v>17345</v>
      </c>
      <c r="J79" s="25">
        <v>216</v>
      </c>
      <c r="K79" s="25">
        <v>2086</v>
      </c>
      <c r="L79" s="25">
        <v>2</v>
      </c>
      <c r="M79">
        <v>10</v>
      </c>
      <c r="N79" s="25">
        <f t="shared" si="19"/>
        <v>19441</v>
      </c>
      <c r="O79" s="25">
        <f t="shared" si="20"/>
        <v>19441</v>
      </c>
      <c r="P79" s="25">
        <f t="shared" si="21"/>
        <v>58323</v>
      </c>
      <c r="Q79" s="25">
        <f>2.5*Population!U79+1.25*(Population!V79-Population!U79)</f>
        <v>53244.236933350228</v>
      </c>
      <c r="R79">
        <v>35857</v>
      </c>
      <c r="S79" s="33">
        <f t="shared" si="22"/>
        <v>4920</v>
      </c>
      <c r="T79">
        <f>+A79</f>
        <v>1776</v>
      </c>
      <c r="U79" s="25">
        <f t="shared" si="23"/>
        <v>94021.236933350228</v>
      </c>
      <c r="V79" s="25">
        <f t="shared" si="24"/>
        <v>58323</v>
      </c>
      <c r="W79" s="22">
        <v>3</v>
      </c>
      <c r="X79">
        <v>123</v>
      </c>
      <c r="Y79" s="25">
        <f>+'Livestock in possession'!AD78/1000</f>
        <v>9662.3589313300035</v>
      </c>
      <c r="Z79" s="40">
        <f>+('Meat supplied to the Company'!Q78*0.2+'Meat supplied to the Company'!R78*0.8)</f>
        <v>3.0416666666666672E-2</v>
      </c>
      <c r="AA79" s="25">
        <f t="shared" si="25"/>
        <v>293.89675082795435</v>
      </c>
      <c r="AB79" s="25">
        <f>+'Export of butter'!B25*0.3*0.002</f>
        <v>6.0804</v>
      </c>
      <c r="AC79" s="25">
        <f t="shared" si="26"/>
        <v>299.97715082795435</v>
      </c>
      <c r="AD79" s="25"/>
      <c r="AE79" s="24">
        <f>+'Exports in money value'!J81</f>
        <v>5.8667439165701039</v>
      </c>
      <c r="AF79" s="25">
        <f t="shared" si="27"/>
        <v>446.88231262662345</v>
      </c>
      <c r="AG79" s="41">
        <v>55.667870423340958</v>
      </c>
      <c r="AH79" s="25">
        <f t="shared" si="28"/>
        <v>512.95789855132182</v>
      </c>
      <c r="AI79" s="25">
        <v>613.40803339932665</v>
      </c>
      <c r="AJ79" s="25">
        <f t="shared" si="29"/>
        <v>1873.2253954052262</v>
      </c>
      <c r="AK79" s="24">
        <f t="shared" si="30"/>
        <v>0.16013937861602698</v>
      </c>
      <c r="AL79" s="24">
        <f t="shared" si="31"/>
        <v>0.23856302275357069</v>
      </c>
      <c r="AM79" s="24">
        <f t="shared" si="32"/>
        <v>0.27383672024174965</v>
      </c>
      <c r="AN79" s="25">
        <f>1000*AJ79/(Population!V79*0.596+Population!W79)</f>
        <v>95.594048654490678</v>
      </c>
      <c r="AO79" s="25"/>
      <c r="AP79" s="25">
        <f t="shared" si="33"/>
        <v>73.334298957126293</v>
      </c>
      <c r="AQ79" s="25">
        <f t="shared" si="34"/>
        <v>32.427149964463403</v>
      </c>
      <c r="AR79" s="25">
        <f t="shared" si="35"/>
        <v>94.996365910138152</v>
      </c>
      <c r="AS79" s="25">
        <f t="shared" si="36"/>
        <v>67.560774345230982</v>
      </c>
      <c r="AT79" s="25">
        <f t="shared" si="37"/>
        <v>141.49341771308238</v>
      </c>
      <c r="AU79">
        <f>+A79</f>
        <v>1776</v>
      </c>
    </row>
    <row r="80" spans="1:47" x14ac:dyDescent="0.2">
      <c r="A80">
        <v>1777</v>
      </c>
      <c r="B80">
        <v>7875000</v>
      </c>
      <c r="C80" s="25">
        <v>2782</v>
      </c>
      <c r="D80" s="25">
        <f>+'Exports of wines'!C32</f>
        <v>455.46666666666664</v>
      </c>
      <c r="E80" s="25">
        <f>+C80-D80</f>
        <v>2326.5333333333333</v>
      </c>
      <c r="F80" s="24">
        <f>+E80/(Population!AE80+Population!AG80)</f>
        <v>0.25497404877279162</v>
      </c>
      <c r="G80" s="25">
        <f>+C80+(Population!V80-Population!AE80)*0.3</f>
        <v>7841.1565917166245</v>
      </c>
      <c r="H80" s="25">
        <v>3374</v>
      </c>
      <c r="I80" s="25">
        <v>18639</v>
      </c>
      <c r="J80" s="25">
        <v>226</v>
      </c>
      <c r="K80" s="25">
        <v>1890</v>
      </c>
      <c r="L80" s="25">
        <v>3</v>
      </c>
      <c r="M80">
        <v>30</v>
      </c>
      <c r="N80" s="25">
        <f t="shared" si="19"/>
        <v>20559</v>
      </c>
      <c r="O80" s="25">
        <f t="shared" si="20"/>
        <v>20559</v>
      </c>
      <c r="P80" s="25">
        <f t="shared" si="21"/>
        <v>61677</v>
      </c>
      <c r="Q80" s="25">
        <f>2.5*Population!U80+1.25*(Population!V80-Population!U80)</f>
        <v>53733.66636708891</v>
      </c>
      <c r="R80">
        <v>17824</v>
      </c>
      <c r="S80" s="33">
        <f t="shared" si="22"/>
        <v>4480</v>
      </c>
      <c r="T80">
        <f>+A80</f>
        <v>1777</v>
      </c>
      <c r="U80" s="25">
        <f t="shared" si="23"/>
        <v>76037.66636708891</v>
      </c>
      <c r="V80" s="25">
        <f t="shared" si="24"/>
        <v>61677</v>
      </c>
      <c r="W80" s="22">
        <v>3</v>
      </c>
      <c r="X80">
        <v>112</v>
      </c>
      <c r="Y80" s="25">
        <f>+'Livestock in possession'!AD79/1000</f>
        <v>10561.480536659785</v>
      </c>
      <c r="Z80" s="40">
        <f>+('Meat supplied to the Company'!Q79*0.2+'Meat supplied to the Company'!R79*0.8)</f>
        <v>3.0416666666666672E-2</v>
      </c>
      <c r="AA80" s="25">
        <f t="shared" si="25"/>
        <v>321.24503299006852</v>
      </c>
      <c r="AB80" s="25"/>
      <c r="AC80" s="25">
        <f t="shared" si="26"/>
        <v>321.24503299006852</v>
      </c>
      <c r="AD80" s="25"/>
      <c r="AE80" s="24">
        <f>+'Exports in money value'!J82</f>
        <v>5.8666666666666663</v>
      </c>
      <c r="AF80" s="25">
        <f t="shared" si="27"/>
        <v>403.96302134346075</v>
      </c>
      <c r="AG80" s="41">
        <v>57.361168032786885</v>
      </c>
      <c r="AH80" s="25">
        <f t="shared" si="28"/>
        <v>449.77790082885178</v>
      </c>
      <c r="AI80" s="25">
        <v>324.64442785058776</v>
      </c>
      <c r="AJ80" s="25">
        <f t="shared" si="29"/>
        <v>1499.6303830129689</v>
      </c>
      <c r="AK80" s="24">
        <f t="shared" si="30"/>
        <v>0.21421614060968941</v>
      </c>
      <c r="AL80" s="24">
        <f t="shared" si="31"/>
        <v>0.26937505796051031</v>
      </c>
      <c r="AM80" s="24">
        <f t="shared" si="32"/>
        <v>0.29992583900919945</v>
      </c>
      <c r="AN80" s="25">
        <f>1000*AJ80/(Population!V80*0.596+Population!W80)</f>
        <v>75.460300559779753</v>
      </c>
      <c r="AO80" s="25"/>
      <c r="AP80" s="25">
        <f t="shared" si="33"/>
        <v>73.333333333333329</v>
      </c>
      <c r="AQ80" s="25">
        <f t="shared" si="34"/>
        <v>32.427149964463403</v>
      </c>
      <c r="AR80" s="25">
        <f t="shared" si="35"/>
        <v>97.885952274380344</v>
      </c>
      <c r="AS80" s="25">
        <f t="shared" si="36"/>
        <v>68.427264004986455</v>
      </c>
      <c r="AT80" s="25">
        <f t="shared" si="37"/>
        <v>110.27812036190835</v>
      </c>
      <c r="AU80">
        <f>+A80</f>
        <v>1777</v>
      </c>
    </row>
    <row r="81" spans="1:47" x14ac:dyDescent="0.2">
      <c r="A81">
        <v>1778</v>
      </c>
      <c r="B81">
        <v>7673600</v>
      </c>
      <c r="C81" s="25">
        <v>4525</v>
      </c>
      <c r="D81" s="25">
        <f>+'Exports of wines'!C33</f>
        <v>326.93333333333334</v>
      </c>
      <c r="E81" s="25">
        <f>+C81-D81</f>
        <v>4198.0666666666666</v>
      </c>
      <c r="F81" s="24">
        <f>+E81/(Population!AE81+Population!AG81)</f>
        <v>0.44701446083895036</v>
      </c>
      <c r="G81" s="25">
        <f>+C81+(Population!V81-Population!AE81)*0.3</f>
        <v>9706.1880032718655</v>
      </c>
      <c r="H81" s="25">
        <v>2951</v>
      </c>
      <c r="I81" s="25">
        <v>17350</v>
      </c>
      <c r="J81" s="25">
        <v>160</v>
      </c>
      <c r="K81" s="25">
        <v>1480</v>
      </c>
      <c r="L81" s="25">
        <v>2</v>
      </c>
      <c r="M81">
        <v>20</v>
      </c>
      <c r="N81" s="25">
        <f t="shared" si="19"/>
        <v>18850</v>
      </c>
      <c r="O81" s="25">
        <f t="shared" si="20"/>
        <v>18850</v>
      </c>
      <c r="P81" s="25">
        <f t="shared" si="21"/>
        <v>56550</v>
      </c>
      <c r="Q81" s="25">
        <f>2.5*Population!U81+1.25*(Population!V81-Population!U81)</f>
        <v>55174.756936969825</v>
      </c>
      <c r="R81">
        <v>12987</v>
      </c>
      <c r="S81" s="33">
        <f t="shared" si="22"/>
        <v>4680</v>
      </c>
      <c r="T81">
        <f>+A81</f>
        <v>1778</v>
      </c>
      <c r="U81" s="25">
        <f t="shared" si="23"/>
        <v>72841.756936969818</v>
      </c>
      <c r="V81" s="25">
        <f t="shared" si="24"/>
        <v>56550</v>
      </c>
      <c r="W81" s="22">
        <v>3</v>
      </c>
      <c r="X81">
        <v>117</v>
      </c>
      <c r="Y81" s="25">
        <f>+'Livestock in possession'!AD80/1000</f>
        <v>10290.940763510125</v>
      </c>
      <c r="Z81" s="40">
        <f>+('Meat supplied to the Company'!Q80*0.2+'Meat supplied to the Company'!R80*0.8)</f>
        <v>3.0416666666666672E-2</v>
      </c>
      <c r="AA81" s="25">
        <f t="shared" si="25"/>
        <v>313.01611489009969</v>
      </c>
      <c r="AB81" s="25">
        <f>+'Export of butter'!B27*0.3*0.002</f>
        <v>6.7535999999999996</v>
      </c>
      <c r="AC81" s="25">
        <f t="shared" si="26"/>
        <v>319.76971489009969</v>
      </c>
      <c r="AD81" s="25"/>
      <c r="AE81" s="24">
        <f>+'Exports in money value'!J83</f>
        <v>5.8669421487603302</v>
      </c>
      <c r="AF81" s="25">
        <f t="shared" si="27"/>
        <v>379.56697623783003</v>
      </c>
      <c r="AG81" s="41">
        <v>58.297206362153347</v>
      </c>
      <c r="AH81" s="25">
        <f t="shared" si="28"/>
        <v>565.84364501659707</v>
      </c>
      <c r="AI81" s="25">
        <v>57.491157689037621</v>
      </c>
      <c r="AJ81" s="25">
        <f t="shared" si="29"/>
        <v>1322.6714938335645</v>
      </c>
      <c r="AK81" s="24">
        <f t="shared" si="30"/>
        <v>0.24176049486278353</v>
      </c>
      <c r="AL81" s="24">
        <f t="shared" si="31"/>
        <v>0.2869699528623787</v>
      </c>
      <c r="AM81" s="24">
        <f t="shared" si="32"/>
        <v>0.4278036138637753</v>
      </c>
      <c r="AN81" s="25">
        <f>1000*AJ81/(Population!V81*0.596+Population!W81)</f>
        <v>64.143223214790524</v>
      </c>
      <c r="AO81" s="25"/>
      <c r="AP81" s="25">
        <f t="shared" si="33"/>
        <v>73.336776859504127</v>
      </c>
      <c r="AQ81" s="25">
        <f t="shared" si="34"/>
        <v>32.427149964463403</v>
      </c>
      <c r="AR81" s="25">
        <f t="shared" si="35"/>
        <v>99.483287307428924</v>
      </c>
      <c r="AS81" s="25">
        <f t="shared" si="36"/>
        <v>68.907841925369354</v>
      </c>
      <c r="AT81" s="25">
        <f t="shared" si="37"/>
        <v>93.085520345073135</v>
      </c>
      <c r="AU81">
        <f>+A81</f>
        <v>1778</v>
      </c>
    </row>
    <row r="82" spans="1:47" x14ac:dyDescent="0.2">
      <c r="A82">
        <v>1779</v>
      </c>
      <c r="B82">
        <v>7809000</v>
      </c>
      <c r="C82" s="25">
        <v>5152</v>
      </c>
      <c r="D82" s="25">
        <f>+'Exports of wines'!C34</f>
        <v>533.33333333333337</v>
      </c>
      <c r="E82" s="25">
        <f>+C82-D82</f>
        <v>4618.666666666667</v>
      </c>
      <c r="F82" s="24">
        <f>+E82/(Population!AE82+Population!AG82)</f>
        <v>0.47713925618020664</v>
      </c>
      <c r="G82" s="25">
        <f>+C82+(Population!V82-Population!AE82)*0.3</f>
        <v>10418.452059251562</v>
      </c>
      <c r="H82" s="25">
        <v>3406</v>
      </c>
      <c r="I82" s="25">
        <v>19986</v>
      </c>
      <c r="J82" s="25">
        <v>155</v>
      </c>
      <c r="K82" s="25">
        <v>1600</v>
      </c>
      <c r="L82" s="25">
        <v>8</v>
      </c>
      <c r="M82">
        <v>100</v>
      </c>
      <c r="N82" s="25">
        <f t="shared" si="19"/>
        <v>21686</v>
      </c>
      <c r="O82" s="25">
        <f t="shared" si="20"/>
        <v>21686</v>
      </c>
      <c r="P82" s="25">
        <f t="shared" si="21"/>
        <v>65058</v>
      </c>
      <c r="Q82" s="25">
        <f>2.5*Population!U82+1.25*(Population!V82-Population!U82)</f>
        <v>55851.889579910756</v>
      </c>
      <c r="R82">
        <v>32074</v>
      </c>
      <c r="S82" s="33">
        <f t="shared" si="22"/>
        <v>4520</v>
      </c>
      <c r="T82">
        <f>+A82</f>
        <v>1779</v>
      </c>
      <c r="U82" s="25">
        <f t="shared" si="23"/>
        <v>92445.889579910756</v>
      </c>
      <c r="V82" s="25">
        <f t="shared" si="24"/>
        <v>65058</v>
      </c>
      <c r="W82" s="22">
        <v>3</v>
      </c>
      <c r="X82">
        <v>113</v>
      </c>
      <c r="Y82" s="25">
        <f>+'Livestock in possession'!AD81/1000</f>
        <v>11036.586670771227</v>
      </c>
      <c r="Z82" s="40">
        <f>+('Meat supplied to the Company'!Q81*0.2+'Meat supplied to the Company'!R81*0.8)</f>
        <v>2.2142857142857145E-2</v>
      </c>
      <c r="AA82" s="25">
        <f t="shared" si="25"/>
        <v>244.38156199564861</v>
      </c>
      <c r="AB82" s="25">
        <f>+'Export of butter'!B28*0.3*0.002</f>
        <v>6.0155999999999992</v>
      </c>
      <c r="AC82" s="25">
        <f t="shared" si="26"/>
        <v>250.39716199564862</v>
      </c>
      <c r="AD82" s="25"/>
      <c r="AE82" s="24">
        <f>+'Exports in money value'!J84</f>
        <v>5.8666666666666663</v>
      </c>
      <c r="AF82" s="25">
        <f t="shared" si="27"/>
        <v>462.01140943440487</v>
      </c>
      <c r="AG82" s="41">
        <v>56.199000000000005</v>
      </c>
      <c r="AH82" s="25">
        <f t="shared" si="28"/>
        <v>585.50658727787857</v>
      </c>
      <c r="AI82" s="25">
        <v>-119.11409310445629</v>
      </c>
      <c r="AJ82" s="25">
        <f t="shared" si="29"/>
        <v>1178.801065603476</v>
      </c>
      <c r="AK82" s="24">
        <f t="shared" si="30"/>
        <v>0.21241681001319776</v>
      </c>
      <c r="AL82" s="24">
        <f t="shared" si="31"/>
        <v>0.39193331505675433</v>
      </c>
      <c r="AM82" s="24">
        <f t="shared" si="32"/>
        <v>0.49669668985083082</v>
      </c>
      <c r="AN82" s="25">
        <f>1000*AJ82/(Population!V82*0.596+Population!W82)</f>
        <v>56.243533211367364</v>
      </c>
      <c r="AO82" s="25"/>
      <c r="AP82" s="25">
        <f t="shared" si="33"/>
        <v>73.333333333333329</v>
      </c>
      <c r="AQ82" s="25">
        <f t="shared" si="34"/>
        <v>23.606457508376486</v>
      </c>
      <c r="AR82" s="25">
        <f t="shared" si="35"/>
        <v>95.902730375426628</v>
      </c>
      <c r="AS82" s="25">
        <f t="shared" si="36"/>
        <v>65.186089698474262</v>
      </c>
      <c r="AT82" s="25">
        <f t="shared" si="37"/>
        <v>86.281495747832523</v>
      </c>
      <c r="AU82">
        <f>+A82</f>
        <v>1779</v>
      </c>
    </row>
    <row r="83" spans="1:47" x14ac:dyDescent="0.2">
      <c r="A83">
        <v>1780</v>
      </c>
      <c r="B83">
        <v>7701600</v>
      </c>
      <c r="C83" s="25">
        <v>5074</v>
      </c>
      <c r="D83" s="25">
        <f>+'Exports of wines'!C35</f>
        <v>371.46666666666664</v>
      </c>
      <c r="E83" s="25">
        <f>+C83-D83</f>
        <v>4702.5333333333338</v>
      </c>
      <c r="F83" s="24">
        <f>+E83/(Population!AE83+Population!AG83)</f>
        <v>0.4807284671498665</v>
      </c>
      <c r="G83" s="25">
        <f>+C83+(Population!V83-Population!AE83)*0.3</f>
        <v>10437.810707565872</v>
      </c>
      <c r="H83" s="25">
        <v>3154</v>
      </c>
      <c r="I83" s="25">
        <v>19480</v>
      </c>
      <c r="J83" s="25">
        <v>160</v>
      </c>
      <c r="K83" s="25">
        <v>1640</v>
      </c>
      <c r="L83" s="25">
        <v>4</v>
      </c>
      <c r="M83">
        <v>50</v>
      </c>
      <c r="N83" s="25">
        <f t="shared" si="19"/>
        <v>21170</v>
      </c>
      <c r="O83" s="25">
        <f t="shared" si="20"/>
        <v>21170</v>
      </c>
      <c r="P83" s="25">
        <f t="shared" si="21"/>
        <v>63510</v>
      </c>
      <c r="Q83" s="25">
        <f>2.5*Population!U83+1.25*(Population!V83-Population!U83)</f>
        <v>57046.772609855616</v>
      </c>
      <c r="R83">
        <v>22566</v>
      </c>
      <c r="S83" s="33">
        <f t="shared" si="22"/>
        <v>4320</v>
      </c>
      <c r="T83">
        <f>+A83</f>
        <v>1780</v>
      </c>
      <c r="U83" s="25">
        <f t="shared" si="23"/>
        <v>83932.772609855616</v>
      </c>
      <c r="V83" s="25">
        <f t="shared" si="24"/>
        <v>63510</v>
      </c>
      <c r="W83" s="22">
        <v>3</v>
      </c>
      <c r="X83">
        <v>108</v>
      </c>
      <c r="Y83" s="25">
        <f>+'Livestock in possession'!AD82/1000</f>
        <v>10062.246467111076</v>
      </c>
      <c r="Z83" s="40">
        <f>+('Meat supplied to the Company'!Q82*0.2+'Meat supplied to the Company'!R82*0.8)</f>
        <v>2.2142857142857145E-2</v>
      </c>
      <c r="AA83" s="25">
        <f t="shared" si="25"/>
        <v>222.80688605745954</v>
      </c>
      <c r="AB83" s="25">
        <f>+'Export of butter'!B29*0.3*0.002</f>
        <v>4.2233999999999998</v>
      </c>
      <c r="AC83" s="25">
        <f t="shared" si="26"/>
        <v>227.03028605745953</v>
      </c>
      <c r="AD83" s="25"/>
      <c r="AE83" s="24">
        <f>+'Exports in money value'!J85</f>
        <v>5.8666666666666663</v>
      </c>
      <c r="AF83" s="25">
        <f t="shared" si="27"/>
        <v>432.49879965557648</v>
      </c>
      <c r="AG83" s="41">
        <v>60.7660175879397</v>
      </c>
      <c r="AH83" s="25">
        <f t="shared" si="28"/>
        <v>634.26418903553315</v>
      </c>
      <c r="AI83" s="25">
        <v>14.010047793041286</v>
      </c>
      <c r="AJ83" s="25">
        <f t="shared" si="29"/>
        <v>1307.8033225416104</v>
      </c>
      <c r="AK83" s="24">
        <f t="shared" si="30"/>
        <v>0.1735966579563695</v>
      </c>
      <c r="AL83" s="24">
        <f t="shared" si="31"/>
        <v>0.33070630132293127</v>
      </c>
      <c r="AM83" s="24">
        <f t="shared" si="32"/>
        <v>0.48498438419845252</v>
      </c>
      <c r="AN83" s="25">
        <f>1000*AJ83/(Population!V83*0.596+Population!W83)</f>
        <v>60.783325754355467</v>
      </c>
      <c r="AO83" s="25"/>
      <c r="AP83" s="25">
        <f t="shared" si="33"/>
        <v>73.333333333333329</v>
      </c>
      <c r="AQ83" s="25">
        <f t="shared" si="34"/>
        <v>23.606457508376486</v>
      </c>
      <c r="AR83" s="25">
        <f t="shared" si="35"/>
        <v>103.69627574733737</v>
      </c>
      <c r="AS83" s="25">
        <f t="shared" si="36"/>
        <v>67.524153310047495</v>
      </c>
      <c r="AT83" s="25">
        <f t="shared" si="37"/>
        <v>90.017160933895028</v>
      </c>
      <c r="AU83">
        <f>+A83</f>
        <v>1780</v>
      </c>
    </row>
    <row r="84" spans="1:47" x14ac:dyDescent="0.2">
      <c r="A84">
        <v>1781</v>
      </c>
      <c r="B84">
        <f>+(B83+B85)/2</f>
        <v>7671850</v>
      </c>
      <c r="C84" s="25"/>
      <c r="D84" s="25">
        <f>+'Exports of wines'!C36</f>
        <v>308.8</v>
      </c>
      <c r="E84" s="25">
        <f>+C84-D84</f>
        <v>-308.8</v>
      </c>
      <c r="F84" s="24"/>
      <c r="G84" s="25">
        <f>+C84+(Population!V84-Population!AE84)*0.3</f>
        <v>5334.4343470434405</v>
      </c>
      <c r="H84" s="25"/>
      <c r="I84" s="25"/>
      <c r="J84" s="25"/>
      <c r="K84" s="25"/>
      <c r="L84" s="25"/>
      <c r="N84" s="32">
        <f>+(N83+N85)/2</f>
        <v>18075</v>
      </c>
      <c r="O84" s="25">
        <f t="shared" si="20"/>
        <v>18075</v>
      </c>
      <c r="P84" s="25">
        <f t="shared" si="21"/>
        <v>54225</v>
      </c>
      <c r="Q84" s="25">
        <f>2.5*Population!U84+1.25*(Population!V84-Population!U84)</f>
        <v>56847.286219019479</v>
      </c>
      <c r="R84">
        <v>23401</v>
      </c>
      <c r="S84" s="33">
        <f t="shared" si="22"/>
        <v>3520</v>
      </c>
      <c r="T84">
        <f>+A84</f>
        <v>1781</v>
      </c>
      <c r="U84" s="25">
        <f t="shared" si="23"/>
        <v>83768.286219019472</v>
      </c>
      <c r="V84" s="25">
        <f t="shared" si="24"/>
        <v>54225</v>
      </c>
      <c r="W84" s="22">
        <v>3</v>
      </c>
      <c r="X84">
        <v>88</v>
      </c>
      <c r="Y84" s="25">
        <f>+'Livestock in possession'!AD83/1000</f>
        <v>9464.5861511810799</v>
      </c>
      <c r="Z84" s="40">
        <f>+('Meat supplied to the Company'!Q83*0.2+'Meat supplied to the Company'!R83*0.8)</f>
        <v>2.2142857142857145E-2</v>
      </c>
      <c r="AA84" s="25">
        <f t="shared" si="25"/>
        <v>209.57297906186679</v>
      </c>
      <c r="AB84" s="25">
        <f>+'Export of butter'!B30*0.3*0.002</f>
        <v>5.8188000000000004</v>
      </c>
      <c r="AC84" s="25">
        <f t="shared" si="26"/>
        <v>215.3917790618668</v>
      </c>
      <c r="AD84" s="25"/>
      <c r="AE84" s="24">
        <f>+'Exports in money value'!J86</f>
        <v>5.8662721893491128</v>
      </c>
      <c r="AF84" s="25">
        <f t="shared" si="27"/>
        <v>404.75308863176309</v>
      </c>
      <c r="AG84" s="41">
        <v>58.681023316062181</v>
      </c>
      <c r="AH84" s="25">
        <f t="shared" si="28"/>
        <v>313.03006629685905</v>
      </c>
      <c r="AI84" s="25">
        <v>-207.85559727401832</v>
      </c>
      <c r="AJ84" s="25">
        <f t="shared" si="29"/>
        <v>725.31933671647062</v>
      </c>
      <c r="AK84" s="24">
        <f t="shared" si="30"/>
        <v>0.29696130815558835</v>
      </c>
      <c r="AL84" s="24">
        <f t="shared" si="31"/>
        <v>0.55803432797488239</v>
      </c>
      <c r="AM84" s="24">
        <f t="shared" si="32"/>
        <v>0.43157551501928781</v>
      </c>
      <c r="AN84" s="25">
        <f>1000*AJ84/(Population!V84*0.596+Population!W84)</f>
        <v>33.938983670365559</v>
      </c>
      <c r="AO84" s="25"/>
      <c r="AP84" s="25">
        <f t="shared" si="33"/>
        <v>73.328402366863912</v>
      </c>
      <c r="AQ84" s="25">
        <f t="shared" si="34"/>
        <v>23.606457508376486</v>
      </c>
      <c r="AR84" s="25">
        <f t="shared" si="35"/>
        <v>100.13826504447471</v>
      </c>
      <c r="AS84" s="25">
        <f t="shared" si="36"/>
        <v>66.454777712600929</v>
      </c>
      <c r="AT84" s="25">
        <f t="shared" si="37"/>
        <v>51.070795567389531</v>
      </c>
      <c r="AU84">
        <f>+A84</f>
        <v>1781</v>
      </c>
    </row>
    <row r="85" spans="1:47" x14ac:dyDescent="0.2">
      <c r="A85">
        <v>1782</v>
      </c>
      <c r="B85">
        <v>7642100</v>
      </c>
      <c r="C85" s="25">
        <v>2868</v>
      </c>
      <c r="D85" s="25">
        <f>+'Exports of wines'!C37</f>
        <v>13.066666666666666</v>
      </c>
      <c r="E85" s="25">
        <f>+C85-D85</f>
        <v>2854.9333333333334</v>
      </c>
      <c r="F85" s="24">
        <f>+E85/(Population!AE85+Population!AG85)</f>
        <v>0.28218817578942218</v>
      </c>
      <c r="G85" s="25">
        <f>+C85+(Population!V85-Population!AE85)*0.3</f>
        <v>8350.6462866566999</v>
      </c>
      <c r="H85" s="25">
        <v>2632</v>
      </c>
      <c r="I85" s="25">
        <v>13400</v>
      </c>
      <c r="J85" s="25">
        <v>222</v>
      </c>
      <c r="K85" s="25">
        <v>1580</v>
      </c>
      <c r="L85" s="71">
        <v>0</v>
      </c>
      <c r="M85" s="19">
        <v>0</v>
      </c>
      <c r="N85" s="25">
        <f t="shared" ref="N85:N98" si="38">SUM(M85,K85,I85)</f>
        <v>14980</v>
      </c>
      <c r="O85" s="25">
        <f t="shared" si="20"/>
        <v>14980</v>
      </c>
      <c r="P85" s="25">
        <f t="shared" si="21"/>
        <v>44940</v>
      </c>
      <c r="Q85" s="25">
        <f>2.5*Population!U85+1.25*(Population!V85-Population!U85)</f>
        <v>58780.28583658424</v>
      </c>
      <c r="R85">
        <v>4082</v>
      </c>
      <c r="S85" s="33">
        <f t="shared" si="22"/>
        <v>4280</v>
      </c>
      <c r="T85">
        <f>+A85</f>
        <v>1782</v>
      </c>
      <c r="U85" s="25">
        <f t="shared" si="23"/>
        <v>67142.28583658424</v>
      </c>
      <c r="V85" s="25">
        <f t="shared" si="24"/>
        <v>44940</v>
      </c>
      <c r="W85" s="22">
        <v>3</v>
      </c>
      <c r="X85">
        <v>107</v>
      </c>
      <c r="Y85" s="25">
        <f>+'Livestock in possession'!AD84/1000</f>
        <v>9113.005136333195</v>
      </c>
      <c r="Z85" s="40">
        <f>+('Meat supplied to the Company'!Q84*0.2+'Meat supplied to the Company'!R84*0.8)</f>
        <v>2.2142857142857145E-2</v>
      </c>
      <c r="AA85" s="25">
        <f t="shared" si="25"/>
        <v>201.78797087594933</v>
      </c>
      <c r="AB85" s="25">
        <f>+'Export of butter'!B31*0.3*0.002</f>
        <v>8.9021999999999988</v>
      </c>
      <c r="AC85" s="25">
        <f t="shared" si="26"/>
        <v>210.69017087594932</v>
      </c>
      <c r="AD85" s="25"/>
      <c r="AE85" s="24">
        <f>+'Exports in money value'!J87</f>
        <v>5.8662721893491128</v>
      </c>
      <c r="AF85" s="25">
        <f t="shared" si="27"/>
        <v>328.75259816091608</v>
      </c>
      <c r="AG85" s="41">
        <v>56.908163265306129</v>
      </c>
      <c r="AH85" s="25">
        <f t="shared" si="28"/>
        <v>475.21994225188183</v>
      </c>
      <c r="AI85" s="25">
        <v>59.086001465605705</v>
      </c>
      <c r="AJ85" s="25">
        <f t="shared" si="29"/>
        <v>1073.7487127543529</v>
      </c>
      <c r="AK85" s="24">
        <f t="shared" si="30"/>
        <v>0.1962192535118317</v>
      </c>
      <c r="AL85" s="24">
        <f t="shared" si="31"/>
        <v>0.30617275183278986</v>
      </c>
      <c r="AM85" s="24">
        <f t="shared" si="32"/>
        <v>0.44258022068576891</v>
      </c>
      <c r="AN85" s="25">
        <f>1000*AJ85/(Population!V85*0.596+Population!W85)</f>
        <v>48.596307448341214</v>
      </c>
      <c r="AO85" s="25"/>
      <c r="AP85" s="25">
        <f t="shared" si="33"/>
        <v>73.328402366863912</v>
      </c>
      <c r="AQ85" s="25">
        <f t="shared" si="34"/>
        <v>23.606457508376486</v>
      </c>
      <c r="AR85" s="25">
        <f t="shared" si="35"/>
        <v>97.112906596085537</v>
      </c>
      <c r="AS85" s="25">
        <f t="shared" si="36"/>
        <v>65.547170178084173</v>
      </c>
      <c r="AT85" s="25">
        <f t="shared" si="37"/>
        <v>74.139443878828942</v>
      </c>
      <c r="AU85">
        <f>+A85</f>
        <v>1782</v>
      </c>
    </row>
    <row r="86" spans="1:47" x14ac:dyDescent="0.2">
      <c r="A86">
        <v>1783</v>
      </c>
      <c r="B86">
        <v>7925000</v>
      </c>
      <c r="C86" s="25">
        <v>3245.5</v>
      </c>
      <c r="D86" s="25">
        <f>+'Exports of wines'!C38</f>
        <v>296.8</v>
      </c>
      <c r="E86" s="25">
        <f>+C86-D86</f>
        <v>2948.7</v>
      </c>
      <c r="F86" s="24">
        <f>+E86/(Population!AE86+Population!AG86)</f>
        <v>0.25766339463485233</v>
      </c>
      <c r="G86" s="25">
        <f>+C86+(Population!V86-Population!AE86)*0.3</f>
        <v>8960.0108392923139</v>
      </c>
      <c r="H86" s="25">
        <v>2658</v>
      </c>
      <c r="I86" s="25">
        <v>17983</v>
      </c>
      <c r="J86" s="25">
        <v>168</v>
      </c>
      <c r="K86" s="25">
        <v>1400</v>
      </c>
      <c r="L86" s="71">
        <v>0</v>
      </c>
      <c r="M86" s="19">
        <v>0</v>
      </c>
      <c r="N86" s="25">
        <f t="shared" si="38"/>
        <v>19383</v>
      </c>
      <c r="O86" s="25">
        <f t="shared" si="20"/>
        <v>19383</v>
      </c>
      <c r="P86" s="25">
        <f t="shared" si="21"/>
        <v>58149</v>
      </c>
      <c r="Q86" s="25">
        <f>2.5*Population!U86+1.25*(Population!V86-Population!U86)</f>
        <v>60985.433769745738</v>
      </c>
      <c r="R86">
        <v>2759</v>
      </c>
      <c r="S86" s="33">
        <f t="shared" si="22"/>
        <v>6840</v>
      </c>
      <c r="T86">
        <f>+A86</f>
        <v>1783</v>
      </c>
      <c r="U86" s="25">
        <f t="shared" si="23"/>
        <v>70584.433769745738</v>
      </c>
      <c r="V86" s="25">
        <f t="shared" si="24"/>
        <v>58149</v>
      </c>
      <c r="W86" s="22">
        <v>3</v>
      </c>
      <c r="X86">
        <v>171</v>
      </c>
      <c r="Y86" s="25">
        <f>+'Livestock in possession'!AD85/1000</f>
        <v>10010.481333716691</v>
      </c>
      <c r="Z86" s="40">
        <f>+('Meat supplied to the Company'!Q85*0.2+'Meat supplied to the Company'!R85*0.8)</f>
        <v>2.2142857142857145E-2</v>
      </c>
      <c r="AA86" s="25">
        <f t="shared" si="25"/>
        <v>221.66065810372675</v>
      </c>
      <c r="AB86" s="25">
        <f>+'Export of butter'!B32*0.3*0.002</f>
        <v>16.579799999999999</v>
      </c>
      <c r="AC86" s="25">
        <f t="shared" si="26"/>
        <v>238.24045810372675</v>
      </c>
      <c r="AD86" s="25"/>
      <c r="AE86" s="24">
        <f>+'Exports in money value'!J88</f>
        <v>5.8666666666666671</v>
      </c>
      <c r="AF86" s="25">
        <f t="shared" si="27"/>
        <v>377.6180723912542</v>
      </c>
      <c r="AG86" s="41">
        <v>64.658355795148253</v>
      </c>
      <c r="AH86" s="25">
        <f t="shared" si="28"/>
        <v>579.33956877534729</v>
      </c>
      <c r="AI86" s="25">
        <v>143.10840735662495</v>
      </c>
      <c r="AJ86" s="25">
        <f t="shared" si="29"/>
        <v>1338.306506626953</v>
      </c>
      <c r="AK86" s="24">
        <f t="shared" si="30"/>
        <v>0.17801636390768533</v>
      </c>
      <c r="AL86" s="24">
        <f t="shared" si="31"/>
        <v>0.28216112715688496</v>
      </c>
      <c r="AM86" s="24">
        <f t="shared" si="32"/>
        <v>0.43289004865970931</v>
      </c>
      <c r="AN86" s="25">
        <f>1000*AJ86/(Population!V86*0.596+Population!W86)</f>
        <v>57.506356124388276</v>
      </c>
      <c r="AO86" s="25"/>
      <c r="AP86" s="25">
        <f t="shared" si="33"/>
        <v>73.333333333333343</v>
      </c>
      <c r="AQ86" s="25">
        <f t="shared" si="34"/>
        <v>23.606457508376486</v>
      </c>
      <c r="AR86" s="25">
        <f t="shared" si="35"/>
        <v>110.33849111800043</v>
      </c>
      <c r="AS86" s="25">
        <f t="shared" si="36"/>
        <v>69.516817921246414</v>
      </c>
      <c r="AT86" s="25">
        <f t="shared" si="37"/>
        <v>82.722940784682578</v>
      </c>
      <c r="AU86">
        <f>+A86</f>
        <v>1783</v>
      </c>
    </row>
    <row r="87" spans="1:47" x14ac:dyDescent="0.2">
      <c r="A87">
        <v>1784</v>
      </c>
      <c r="B87">
        <v>8004000</v>
      </c>
      <c r="C87" s="25">
        <v>4462</v>
      </c>
      <c r="D87" s="25">
        <f>+'Exports of wines'!C39</f>
        <v>229.33333333333334</v>
      </c>
      <c r="E87" s="25">
        <f>+C87-D87</f>
        <v>4232.666666666667</v>
      </c>
      <c r="F87" s="24">
        <f>+E87/(Population!AE87+Population!AG87)</f>
        <v>0.37163124241693579</v>
      </c>
      <c r="G87" s="25">
        <f>+C87+(Population!V87-Population!AE87)*0.3</f>
        <v>10265.708519601718</v>
      </c>
      <c r="H87" s="25">
        <v>2392</v>
      </c>
      <c r="I87" s="25">
        <v>12266</v>
      </c>
      <c r="J87" s="25">
        <v>166</v>
      </c>
      <c r="K87" s="25">
        <v>1250</v>
      </c>
      <c r="L87" s="25">
        <v>2</v>
      </c>
      <c r="M87">
        <v>20</v>
      </c>
      <c r="N87" s="25">
        <f t="shared" si="38"/>
        <v>13536</v>
      </c>
      <c r="O87" s="25">
        <f t="shared" si="20"/>
        <v>13536</v>
      </c>
      <c r="P87" s="25">
        <f t="shared" si="21"/>
        <v>40608</v>
      </c>
      <c r="Q87" s="25">
        <f>2.5*Population!U87+1.25*(Population!V87-Population!U87)</f>
        <v>61811.789830650436</v>
      </c>
      <c r="R87">
        <v>0</v>
      </c>
      <c r="S87" s="33">
        <f t="shared" si="22"/>
        <v>6840</v>
      </c>
      <c r="T87">
        <f>+A87</f>
        <v>1784</v>
      </c>
      <c r="U87" s="25">
        <f t="shared" si="23"/>
        <v>68651.789830650436</v>
      </c>
      <c r="V87" s="25">
        <f t="shared" si="24"/>
        <v>40608</v>
      </c>
      <c r="W87" s="22">
        <v>3</v>
      </c>
      <c r="X87">
        <v>171</v>
      </c>
      <c r="Y87" s="25">
        <f>+'Livestock in possession'!AD86/1000</f>
        <v>9944.8106494219464</v>
      </c>
      <c r="Z87" s="40">
        <f>+('Meat supplied to the Company'!Q86*0.2+'Meat supplied to the Company'!R86*0.8)</f>
        <v>2.973214285714286E-2</v>
      </c>
      <c r="AA87" s="25">
        <f t="shared" si="25"/>
        <v>295.68053091584898</v>
      </c>
      <c r="AB87" s="25">
        <f>+'Export of butter'!B33*0.3*0.002</f>
        <v>15.570599999999999</v>
      </c>
      <c r="AC87" s="25">
        <f t="shared" si="26"/>
        <v>311.25113091584899</v>
      </c>
      <c r="AD87" s="25"/>
      <c r="AE87" s="24">
        <f>+'Exports in money value'!J89</f>
        <v>5.8666666666666671</v>
      </c>
      <c r="AF87" s="25">
        <f t="shared" si="27"/>
        <v>320.49538350324127</v>
      </c>
      <c r="AG87" s="41">
        <v>55.807412790697668</v>
      </c>
      <c r="AH87" s="25">
        <f t="shared" si="28"/>
        <v>572.90263294239492</v>
      </c>
      <c r="AI87" s="25">
        <v>376.76138104321421</v>
      </c>
      <c r="AJ87" s="25">
        <f t="shared" si="29"/>
        <v>1581.4105284046993</v>
      </c>
      <c r="AK87" s="24">
        <f t="shared" si="30"/>
        <v>0.1968186788473161</v>
      </c>
      <c r="AL87" s="24">
        <f t="shared" si="31"/>
        <v>0.2026642530491761</v>
      </c>
      <c r="AM87" s="24">
        <f t="shared" si="32"/>
        <v>0.3622731875450011</v>
      </c>
      <c r="AN87" s="25">
        <f>1000*AJ87/(Population!V87*0.596+Population!W87)</f>
        <v>66.799531867485754</v>
      </c>
      <c r="AO87" s="25"/>
      <c r="AP87" s="25">
        <f t="shared" si="33"/>
        <v>73.333333333333343</v>
      </c>
      <c r="AQ87" s="25">
        <f t="shared" si="34"/>
        <v>31.697380444715204</v>
      </c>
      <c r="AR87" s="25">
        <f t="shared" si="35"/>
        <v>95.234492816890224</v>
      </c>
      <c r="AS87" s="25">
        <f t="shared" si="36"/>
        <v>67.412895311814964</v>
      </c>
      <c r="AT87" s="25">
        <f t="shared" si="37"/>
        <v>99.0901392953201</v>
      </c>
      <c r="AU87">
        <f>+A87</f>
        <v>1784</v>
      </c>
    </row>
    <row r="88" spans="1:47" x14ac:dyDescent="0.2">
      <c r="A88">
        <v>1785</v>
      </c>
      <c r="B88">
        <v>8357500</v>
      </c>
      <c r="C88" s="25">
        <v>4879</v>
      </c>
      <c r="D88" s="25">
        <f>+'Exports of wines'!C40</f>
        <v>374.4</v>
      </c>
      <c r="E88" s="25">
        <f>+C88-D88</f>
        <v>4504.6000000000004</v>
      </c>
      <c r="F88" s="24">
        <f>+E88/(Population!AE88+Population!AG88)</f>
        <v>0.38252427740996842</v>
      </c>
      <c r="G88" s="25">
        <f>+C88+(Population!V88-Population!AE88)*0.3</f>
        <v>10699.947000119129</v>
      </c>
      <c r="H88" s="25">
        <v>2336</v>
      </c>
      <c r="I88" s="25">
        <v>11485</v>
      </c>
      <c r="J88" s="25">
        <v>126</v>
      </c>
      <c r="K88" s="25">
        <v>1160</v>
      </c>
      <c r="L88" s="71">
        <v>0</v>
      </c>
      <c r="M88" s="19">
        <v>0</v>
      </c>
      <c r="N88" s="25">
        <f t="shared" si="38"/>
        <v>12645</v>
      </c>
      <c r="O88" s="25">
        <f t="shared" si="20"/>
        <v>12645</v>
      </c>
      <c r="P88" s="25">
        <f t="shared" si="21"/>
        <v>37935</v>
      </c>
      <c r="Q88" s="25">
        <f>2.5*Population!U88+1.25*(Population!V88-Population!U88)</f>
        <v>62976.785311137231</v>
      </c>
      <c r="R88">
        <v>100</v>
      </c>
      <c r="S88" s="33">
        <f t="shared" si="22"/>
        <v>6800</v>
      </c>
      <c r="T88">
        <f>+A88</f>
        <v>1785</v>
      </c>
      <c r="U88" s="25">
        <f t="shared" si="23"/>
        <v>69876.785311137239</v>
      </c>
      <c r="V88" s="25">
        <f t="shared" si="24"/>
        <v>37935</v>
      </c>
      <c r="W88" s="22">
        <v>3</v>
      </c>
      <c r="X88">
        <v>170</v>
      </c>
      <c r="Y88" s="25">
        <f>+'Livestock in possession'!AD87/1000</f>
        <v>10191.508532962829</v>
      </c>
      <c r="Z88" s="40">
        <f>+('Meat supplied to the Company'!Q87*0.2+'Meat supplied to the Company'!R87*0.8)</f>
        <v>2.973214285714286E-2</v>
      </c>
      <c r="AA88" s="25">
        <f t="shared" si="25"/>
        <v>303.01538763184129</v>
      </c>
      <c r="AB88" s="25">
        <f>+'Export of butter'!B34*0.3*0.002</f>
        <v>22.066200000000002</v>
      </c>
      <c r="AC88" s="25">
        <f t="shared" si="26"/>
        <v>325.08158763184127</v>
      </c>
      <c r="AD88" s="25"/>
      <c r="AE88" s="24">
        <f>+'Exports in money value'!J90</f>
        <v>5.8666666666666671</v>
      </c>
      <c r="AF88" s="25">
        <f t="shared" si="27"/>
        <v>316.24790357933597</v>
      </c>
      <c r="AG88" s="41">
        <v>56.298611111111114</v>
      </c>
      <c r="AH88" s="25">
        <f t="shared" si="28"/>
        <v>602.39215506920686</v>
      </c>
      <c r="AI88" s="25">
        <v>337.83474219996339</v>
      </c>
      <c r="AJ88" s="25">
        <f t="shared" si="29"/>
        <v>1581.5563884803476</v>
      </c>
      <c r="AK88" s="24">
        <f t="shared" si="30"/>
        <v>0.20554536657665351</v>
      </c>
      <c r="AL88" s="24">
        <f t="shared" si="31"/>
        <v>0.19995992927144732</v>
      </c>
      <c r="AM88" s="24">
        <f t="shared" si="32"/>
        <v>0.38088566393008644</v>
      </c>
      <c r="AN88" s="25">
        <f>1000*AJ88/(Population!V88*0.596+Population!W88)</f>
        <v>65.729097495158598</v>
      </c>
      <c r="AO88" s="25"/>
      <c r="AP88" s="25">
        <f t="shared" si="33"/>
        <v>73.333333333333343</v>
      </c>
      <c r="AQ88" s="25">
        <f t="shared" si="34"/>
        <v>31.697380444715204</v>
      </c>
      <c r="AR88" s="25">
        <f t="shared" si="35"/>
        <v>96.072715206674246</v>
      </c>
      <c r="AS88" s="25">
        <f t="shared" si="36"/>
        <v>67.664362028750176</v>
      </c>
      <c r="AT88" s="25">
        <f t="shared" si="37"/>
        <v>97.139905741268493</v>
      </c>
      <c r="AU88">
        <f>+A88</f>
        <v>1785</v>
      </c>
    </row>
    <row r="89" spans="1:47" x14ac:dyDescent="0.2">
      <c r="A89">
        <v>1786</v>
      </c>
      <c r="B89">
        <v>8728000</v>
      </c>
      <c r="C89" s="25">
        <v>5519</v>
      </c>
      <c r="D89" s="25">
        <f>+'Exports of wines'!C41</f>
        <v>421.33333333333331</v>
      </c>
      <c r="E89" s="25">
        <f>+C89-D89</f>
        <v>5097.666666666667</v>
      </c>
      <c r="F89" s="24">
        <f>+E89/(Population!AE89+Population!AG89)</f>
        <v>0.43506992252947996</v>
      </c>
      <c r="G89" s="25">
        <f>+C89+(Population!V89-Population!AE89)*0.3</f>
        <v>11911.111691256665</v>
      </c>
      <c r="H89" s="25">
        <v>2108</v>
      </c>
      <c r="I89" s="25">
        <v>4070</v>
      </c>
      <c r="J89" s="25">
        <v>180</v>
      </c>
      <c r="K89" s="25">
        <v>780</v>
      </c>
      <c r="L89" s="71">
        <v>0</v>
      </c>
      <c r="M89" s="19">
        <v>0</v>
      </c>
      <c r="N89" s="25">
        <f t="shared" si="38"/>
        <v>4850</v>
      </c>
      <c r="O89" s="25">
        <f t="shared" si="20"/>
        <v>4850</v>
      </c>
      <c r="P89" s="25">
        <f t="shared" si="21"/>
        <v>14550</v>
      </c>
      <c r="Q89" s="25">
        <f>2.5*Population!U89+1.25*(Population!V89-Population!U89)</f>
        <v>68216.226610211059</v>
      </c>
      <c r="R89">
        <v>0</v>
      </c>
      <c r="S89" s="33">
        <f t="shared" si="22"/>
        <v>5840</v>
      </c>
      <c r="T89">
        <f>+A89</f>
        <v>1786</v>
      </c>
      <c r="U89" s="25">
        <f t="shared" si="23"/>
        <v>74056.226610211059</v>
      </c>
      <c r="V89" s="25">
        <f t="shared" si="24"/>
        <v>14550</v>
      </c>
      <c r="W89" s="22">
        <v>3</v>
      </c>
      <c r="X89">
        <v>146</v>
      </c>
      <c r="Y89" s="25">
        <f>+'Livestock in possession'!AD88/1000</f>
        <v>10511.189563464177</v>
      </c>
      <c r="Z89" s="40">
        <f>+('Meat supplied to the Company'!Q88*0.2+'Meat supplied to the Company'!R88*0.8)</f>
        <v>2.973214285714286E-2</v>
      </c>
      <c r="AA89" s="25">
        <f t="shared" si="25"/>
        <v>312.520189699426</v>
      </c>
      <c r="AB89" s="25">
        <f>+'Export of butter'!B35*0.3*0.002</f>
        <v>12.077399999999999</v>
      </c>
      <c r="AC89" s="25">
        <f t="shared" si="26"/>
        <v>324.59758969942601</v>
      </c>
      <c r="AD89" s="25"/>
      <c r="AE89" s="24">
        <f>+'Exports in money value'!J91</f>
        <v>8.8000000000000007</v>
      </c>
      <c r="AF89" s="25">
        <f t="shared" si="27"/>
        <v>389.86739708492871</v>
      </c>
      <c r="AG89" s="41">
        <v>54.218947784810126</v>
      </c>
      <c r="AH89" s="25">
        <f t="shared" si="28"/>
        <v>645.80794284728654</v>
      </c>
      <c r="AI89" s="25">
        <v>364.51326328170927</v>
      </c>
      <c r="AJ89" s="25">
        <f t="shared" si="29"/>
        <v>1724.7861929133503</v>
      </c>
      <c r="AK89" s="24">
        <f t="shared" si="30"/>
        <v>0.18819584191542349</v>
      </c>
      <c r="AL89" s="24">
        <f t="shared" si="31"/>
        <v>0.22603810181620282</v>
      </c>
      <c r="AM89" s="24">
        <f t="shared" si="32"/>
        <v>0.37442782502592226</v>
      </c>
      <c r="AN89" s="25">
        <f>1000*AJ89/(Population!V89*0.596+Population!W89)</f>
        <v>65.034074279521136</v>
      </c>
      <c r="AO89" s="25"/>
      <c r="AP89" s="25">
        <f t="shared" si="33"/>
        <v>110.00000000000001</v>
      </c>
      <c r="AQ89" s="25">
        <f t="shared" si="34"/>
        <v>31.697380444715204</v>
      </c>
      <c r="AR89" s="25">
        <f t="shared" si="35"/>
        <v>92.523801680563352</v>
      </c>
      <c r="AS89" s="25">
        <f t="shared" si="36"/>
        <v>81.266354637583575</v>
      </c>
      <c r="AT89" s="25">
        <f t="shared" si="37"/>
        <v>80.025829347886813</v>
      </c>
      <c r="AU89">
        <f>+A89</f>
        <v>1786</v>
      </c>
    </row>
    <row r="90" spans="1:47" x14ac:dyDescent="0.2">
      <c r="A90">
        <v>1787</v>
      </c>
      <c r="B90">
        <v>9000000</v>
      </c>
      <c r="C90" s="25">
        <v>8873</v>
      </c>
      <c r="D90" s="25">
        <f>+'Exports of wines'!C42</f>
        <v>536</v>
      </c>
      <c r="E90" s="25">
        <f>+C90-D90</f>
        <v>8337</v>
      </c>
      <c r="F90" s="24">
        <f>+E90/(Population!AE90+Population!AG90)</f>
        <v>0.6527538500004415</v>
      </c>
      <c r="G90" s="25">
        <f>+C90+(Population!V90-Population!AE90)*0.3</f>
        <v>15674.701580109497</v>
      </c>
      <c r="H90" s="25">
        <v>2708</v>
      </c>
      <c r="I90" s="25">
        <v>11110</v>
      </c>
      <c r="J90" s="25">
        <v>1178</v>
      </c>
      <c r="K90" s="25">
        <v>4371</v>
      </c>
      <c r="L90" s="25">
        <v>2</v>
      </c>
      <c r="M90">
        <v>20</v>
      </c>
      <c r="N90" s="25">
        <f t="shared" si="38"/>
        <v>15501</v>
      </c>
      <c r="O90" s="25">
        <f t="shared" si="20"/>
        <v>15501</v>
      </c>
      <c r="P90" s="25">
        <f t="shared" si="21"/>
        <v>46503</v>
      </c>
      <c r="Q90" s="25">
        <f>2.5*Population!U90+1.25*(Population!V90-Population!U90)</f>
        <v>72052.452823211686</v>
      </c>
      <c r="R90">
        <v>2686</v>
      </c>
      <c r="S90" s="33">
        <f t="shared" si="22"/>
        <v>6400</v>
      </c>
      <c r="T90">
        <f>+A90</f>
        <v>1787</v>
      </c>
      <c r="U90" s="25">
        <f t="shared" si="23"/>
        <v>81138.452823211686</v>
      </c>
      <c r="V90" s="25">
        <f t="shared" si="24"/>
        <v>46503</v>
      </c>
      <c r="W90" s="22">
        <v>3</v>
      </c>
      <c r="X90">
        <v>160</v>
      </c>
      <c r="Y90" s="25">
        <f>+'Livestock in possession'!AD89/1000</f>
        <v>12720.976086969747</v>
      </c>
      <c r="Z90" s="40">
        <f>+('Meat supplied to the Company'!Q89*0.2+'Meat supplied to the Company'!R89*0.8)</f>
        <v>2.973214285714286E-2</v>
      </c>
      <c r="AA90" s="25">
        <f t="shared" si="25"/>
        <v>378.22187830008272</v>
      </c>
      <c r="AB90" s="25">
        <f>+'Export of butter'!B36*0.3*0.002</f>
        <v>25.7622</v>
      </c>
      <c r="AC90" s="25">
        <f t="shared" si="26"/>
        <v>403.98407830008273</v>
      </c>
      <c r="AD90" s="25"/>
      <c r="AE90" s="24">
        <f>+'Exports in money value'!J92</f>
        <v>7.3352941176470594</v>
      </c>
      <c r="AF90" s="25">
        <f t="shared" si="27"/>
        <v>468.14379903101468</v>
      </c>
      <c r="AG90" s="41">
        <v>55.726585820895529</v>
      </c>
      <c r="AH90" s="25">
        <f t="shared" si="28"/>
        <v>873.49760282089869</v>
      </c>
      <c r="AI90" s="25">
        <v>402.34650130041501</v>
      </c>
      <c r="AJ90" s="25">
        <f t="shared" si="29"/>
        <v>2147.971981452411</v>
      </c>
      <c r="AK90" s="24">
        <f t="shared" si="30"/>
        <v>0.18807697762748174</v>
      </c>
      <c r="AL90" s="24">
        <f t="shared" si="31"/>
        <v>0.21794688341999052</v>
      </c>
      <c r="AM90" s="24">
        <f t="shared" si="32"/>
        <v>0.40666154417445383</v>
      </c>
      <c r="AN90" s="25">
        <f>1000*AJ90/(Population!V90*0.596+Population!W90)</f>
        <v>78.0638659176538</v>
      </c>
      <c r="AO90" s="25"/>
      <c r="AP90" s="25">
        <f t="shared" si="33"/>
        <v>91.691176470588246</v>
      </c>
      <c r="AQ90" s="25">
        <f t="shared" si="34"/>
        <v>31.697380444715204</v>
      </c>
      <c r="AR90" s="25">
        <f t="shared" si="35"/>
        <v>95.096562834292698</v>
      </c>
      <c r="AS90" s="25">
        <f t="shared" si="36"/>
        <v>74.71465357193766</v>
      </c>
      <c r="AT90" s="25">
        <f t="shared" si="37"/>
        <v>104.4826713176036</v>
      </c>
      <c r="AU90">
        <f>+A90</f>
        <v>1787</v>
      </c>
    </row>
    <row r="91" spans="1:47" x14ac:dyDescent="0.2">
      <c r="A91">
        <v>1788</v>
      </c>
      <c r="B91">
        <v>9565000</v>
      </c>
      <c r="C91" s="25">
        <v>7186</v>
      </c>
      <c r="D91" s="25">
        <f>+'Exports of wines'!C43</f>
        <v>638.13333333333333</v>
      </c>
      <c r="E91" s="25">
        <f>+C91-D91</f>
        <v>6547.8666666666668</v>
      </c>
      <c r="F91" s="24">
        <f>+E91/(Population!AE91+Population!AG91)</f>
        <v>0.52016315849589811</v>
      </c>
      <c r="G91" s="25">
        <f>+C91+(Population!V91-Population!AE91)*0.3</f>
        <v>13888.662969588402</v>
      </c>
      <c r="H91" s="25">
        <v>3257</v>
      </c>
      <c r="I91" s="25">
        <v>22280</v>
      </c>
      <c r="J91" s="25">
        <v>439</v>
      </c>
      <c r="K91" s="25">
        <v>3539</v>
      </c>
      <c r="L91" s="25">
        <v>17</v>
      </c>
      <c r="M91">
        <v>215</v>
      </c>
      <c r="N91" s="25">
        <f t="shared" si="38"/>
        <v>26034</v>
      </c>
      <c r="O91" s="25">
        <f t="shared" si="20"/>
        <v>26034</v>
      </c>
      <c r="P91" s="25">
        <f t="shared" si="21"/>
        <v>78102</v>
      </c>
      <c r="Q91" s="25">
        <f>2.5*Population!U91+1.25*(Population!V91-Population!U91)</f>
        <v>71638.564425806893</v>
      </c>
      <c r="R91">
        <v>12040</v>
      </c>
      <c r="S91" s="33">
        <f t="shared" si="22"/>
        <v>6960</v>
      </c>
      <c r="T91">
        <f>+A91</f>
        <v>1788</v>
      </c>
      <c r="U91" s="25">
        <f t="shared" si="23"/>
        <v>90638.564425806893</v>
      </c>
      <c r="V91" s="25">
        <f t="shared" si="24"/>
        <v>78102</v>
      </c>
      <c r="W91" s="22">
        <v>3</v>
      </c>
      <c r="X91">
        <v>174</v>
      </c>
      <c r="Y91" s="25">
        <f>+'Livestock in possession'!AD90/1000</f>
        <v>12877.765277036009</v>
      </c>
      <c r="Z91" s="40">
        <f>+('Meat supplied to the Company'!Q90*0.2+'Meat supplied to the Company'!R90*0.8)</f>
        <v>2.973214285714286E-2</v>
      </c>
      <c r="AA91" s="25">
        <f t="shared" si="25"/>
        <v>382.88355689758851</v>
      </c>
      <c r="AB91" s="25">
        <f>+'Export of butter'!B37*0.3*0.002</f>
        <v>19.215</v>
      </c>
      <c r="AC91" s="25">
        <f t="shared" si="26"/>
        <v>402.09855689758848</v>
      </c>
      <c r="AD91" s="25"/>
      <c r="AE91" s="24">
        <f>+'Exports in money value'!J93</f>
        <v>5.8705882352941172</v>
      </c>
      <c r="AF91" s="25">
        <f t="shared" si="27"/>
        <v>495.30318616751549</v>
      </c>
      <c r="AG91" s="41">
        <v>55.350501462599247</v>
      </c>
      <c r="AH91" s="25">
        <f t="shared" si="28"/>
        <v>768.74446001175079</v>
      </c>
      <c r="AI91" s="25">
        <v>402.92089760936483</v>
      </c>
      <c r="AJ91" s="25">
        <f t="shared" si="29"/>
        <v>2069.0671006862194</v>
      </c>
      <c r="AK91" s="24">
        <f t="shared" si="30"/>
        <v>0.19433809409285466</v>
      </c>
      <c r="AL91" s="24">
        <f t="shared" si="31"/>
        <v>0.23938478650752554</v>
      </c>
      <c r="AM91" s="24">
        <f t="shared" si="32"/>
        <v>0.37154158014343358</v>
      </c>
      <c r="AN91" s="25">
        <f>1000*AJ91/(Population!V91*0.596+Population!W91)</f>
        <v>75.518990886745144</v>
      </c>
      <c r="AO91" s="25"/>
      <c r="AP91" s="25">
        <f t="shared" si="33"/>
        <v>73.382352941176464</v>
      </c>
      <c r="AQ91" s="25">
        <f t="shared" si="34"/>
        <v>31.697380444715204</v>
      </c>
      <c r="AR91" s="25">
        <f t="shared" si="35"/>
        <v>94.454780652899743</v>
      </c>
      <c r="AS91" s="25">
        <f t="shared" si="36"/>
        <v>67.198589505755066</v>
      </c>
      <c r="AT91" s="25">
        <f t="shared" si="37"/>
        <v>112.38180956205561</v>
      </c>
      <c r="AU91">
        <f>+A91</f>
        <v>1788</v>
      </c>
    </row>
    <row r="92" spans="1:47" x14ac:dyDescent="0.2">
      <c r="A92">
        <v>1789</v>
      </c>
      <c r="B92">
        <v>9101000</v>
      </c>
      <c r="C92" s="25">
        <v>5070</v>
      </c>
      <c r="D92" s="25">
        <f>+'Exports of wines'!C44</f>
        <v>656.26666666666665</v>
      </c>
      <c r="E92" s="25">
        <f>+C92-D92</f>
        <v>4413.7333333333336</v>
      </c>
      <c r="F92" s="24">
        <f>+E92/(Population!AE92+Population!AG92)</f>
        <v>0.34187362328400822</v>
      </c>
      <c r="G92" s="25">
        <f>+C92+(Population!V92-Population!AE92)*0.3</f>
        <v>11979.533583117231</v>
      </c>
      <c r="H92" s="25">
        <v>3016</v>
      </c>
      <c r="I92" s="25">
        <v>13210</v>
      </c>
      <c r="J92" s="25">
        <v>562</v>
      </c>
      <c r="K92" s="25">
        <v>2945</v>
      </c>
      <c r="L92" s="25">
        <v>4</v>
      </c>
      <c r="M92">
        <v>30</v>
      </c>
      <c r="N92" s="25">
        <f t="shared" si="38"/>
        <v>16185</v>
      </c>
      <c r="O92" s="25">
        <f t="shared" si="20"/>
        <v>16185</v>
      </c>
      <c r="P92" s="25">
        <f t="shared" si="21"/>
        <v>48555</v>
      </c>
      <c r="Q92" s="25">
        <f>2.5*Population!U92+1.25*(Population!V92-Population!U92)</f>
        <v>73644.217947802332</v>
      </c>
      <c r="R92">
        <v>74</v>
      </c>
      <c r="S92" s="33">
        <f t="shared" si="22"/>
        <v>7560</v>
      </c>
      <c r="T92">
        <f>+A92</f>
        <v>1789</v>
      </c>
      <c r="U92" s="25">
        <f t="shared" si="23"/>
        <v>81278.217947802332</v>
      </c>
      <c r="V92" s="25">
        <f t="shared" si="24"/>
        <v>48555</v>
      </c>
      <c r="W92" s="22">
        <v>3</v>
      </c>
      <c r="X92">
        <v>189</v>
      </c>
      <c r="Y92" s="25">
        <f>+'Livestock in possession'!AD91/1000</f>
        <v>12789.118457502002</v>
      </c>
      <c r="Z92" s="40">
        <f>+('Meat supplied to the Company'!Q91*0.2+'Meat supplied to the Company'!R91*0.8)</f>
        <v>5.000000000000001E-2</v>
      </c>
      <c r="AA92" s="25">
        <f t="shared" si="25"/>
        <v>639.45592287510021</v>
      </c>
      <c r="AB92" s="25">
        <f>+'Export of butter'!B38*0.3*0.002</f>
        <v>21.885000000000002</v>
      </c>
      <c r="AC92" s="25">
        <f t="shared" si="26"/>
        <v>661.3409228751002</v>
      </c>
      <c r="AD92" s="25"/>
      <c r="AE92" s="24">
        <f>+'Exports in money value'!J94</f>
        <v>5.86</v>
      </c>
      <c r="AF92" s="25">
        <f t="shared" si="27"/>
        <v>380.41132858706084</v>
      </c>
      <c r="AG92" s="41">
        <v>56.11994616009752</v>
      </c>
      <c r="AH92" s="25">
        <f t="shared" si="28"/>
        <v>672.29077970761909</v>
      </c>
      <c r="AI92" s="25">
        <v>144.89151991734133</v>
      </c>
      <c r="AJ92" s="25">
        <f t="shared" si="29"/>
        <v>1858.9345510871215</v>
      </c>
      <c r="AK92" s="24">
        <f t="shared" si="30"/>
        <v>0.35576342506966807</v>
      </c>
      <c r="AL92" s="24">
        <f t="shared" si="31"/>
        <v>0.20463944164392064</v>
      </c>
      <c r="AM92" s="24">
        <f t="shared" si="32"/>
        <v>0.36165381901931809</v>
      </c>
      <c r="AN92" s="25">
        <f>1000*AJ92/(Population!V92*0.596+Population!W92)</f>
        <v>65.471287983987224</v>
      </c>
      <c r="AO92" s="25"/>
      <c r="AP92" s="25">
        <f t="shared" si="33"/>
        <v>73.25</v>
      </c>
      <c r="AQ92" s="25">
        <f t="shared" si="34"/>
        <v>53.30490405117272</v>
      </c>
      <c r="AR92" s="25">
        <f t="shared" si="35"/>
        <v>95.767826211770497</v>
      </c>
      <c r="AS92" s="25">
        <f t="shared" si="36"/>
        <v>74.02181907888297</v>
      </c>
      <c r="AT92" s="25">
        <f t="shared" si="37"/>
        <v>88.448634198271066</v>
      </c>
      <c r="AU92">
        <f>+A92</f>
        <v>1789</v>
      </c>
    </row>
    <row r="93" spans="1:47" x14ac:dyDescent="0.2">
      <c r="A93">
        <v>1790</v>
      </c>
      <c r="B93">
        <v>9620000</v>
      </c>
      <c r="C93" s="25">
        <v>5860</v>
      </c>
      <c r="D93" s="25">
        <f>+'Exports of wines'!C45</f>
        <v>501.33333333333331</v>
      </c>
      <c r="E93" s="25">
        <f>+C93-D93</f>
        <v>5358.666666666667</v>
      </c>
      <c r="F93" s="24">
        <f>+E93/(Population!AE93+Population!AG93)</f>
        <v>0.42655801077481365</v>
      </c>
      <c r="G93" s="25">
        <f>+C93+(Population!V93-Population!AE93)*0.3</f>
        <v>12885.074162389563</v>
      </c>
      <c r="H93" s="25">
        <v>2746</v>
      </c>
      <c r="I93" s="25">
        <v>19680</v>
      </c>
      <c r="J93" s="25">
        <v>597</v>
      </c>
      <c r="K93" s="25">
        <v>5990</v>
      </c>
      <c r="L93" s="25">
        <v>4</v>
      </c>
      <c r="M93">
        <v>25</v>
      </c>
      <c r="N93" s="25">
        <f t="shared" si="38"/>
        <v>25695</v>
      </c>
      <c r="O93" s="25">
        <f t="shared" si="20"/>
        <v>25695</v>
      </c>
      <c r="P93" s="25">
        <f t="shared" si="21"/>
        <v>77085</v>
      </c>
      <c r="Q93" s="25">
        <f>2.5*Population!U93+1.25*(Population!V93-Population!U93)</f>
        <v>74971.837634184194</v>
      </c>
      <c r="R93">
        <v>2762</v>
      </c>
      <c r="S93" s="33">
        <f t="shared" si="22"/>
        <v>6280</v>
      </c>
      <c r="T93">
        <f>+A93</f>
        <v>1790</v>
      </c>
      <c r="U93" s="25">
        <f t="shared" si="23"/>
        <v>84013.837634184194</v>
      </c>
      <c r="V93" s="25">
        <f t="shared" si="24"/>
        <v>77085</v>
      </c>
      <c r="W93" s="22">
        <v>3</v>
      </c>
      <c r="X93">
        <v>157</v>
      </c>
      <c r="Y93" s="25">
        <f>+'Livestock in possession'!AD92/1000</f>
        <v>13267.172705817879</v>
      </c>
      <c r="Z93" s="40">
        <f>+('Meat supplied to the Company'!Q92*0.2+'Meat supplied to the Company'!R92*0.8)</f>
        <v>5.000000000000001E-2</v>
      </c>
      <c r="AA93" s="25">
        <f t="shared" si="25"/>
        <v>663.35863529089409</v>
      </c>
      <c r="AB93" s="25">
        <f>+'Export of butter'!B39*0.3*0.002</f>
        <v>13.611600000000001</v>
      </c>
      <c r="AC93" s="25">
        <f t="shared" si="26"/>
        <v>676.97023529089404</v>
      </c>
      <c r="AD93" s="25"/>
      <c r="AE93" s="24">
        <f>+'Exports in money value'!J95</f>
        <v>5.8714285714285719</v>
      </c>
      <c r="AF93" s="25">
        <f t="shared" si="27"/>
        <v>472.94015905464079</v>
      </c>
      <c r="AG93" s="41">
        <v>56.135106382978734</v>
      </c>
      <c r="AH93" s="25">
        <f t="shared" si="28"/>
        <v>723.30500885830861</v>
      </c>
      <c r="AI93" s="25">
        <v>116.39706168270523</v>
      </c>
      <c r="AJ93" s="25">
        <f t="shared" si="29"/>
        <v>1989.6124648865487</v>
      </c>
      <c r="AK93" s="24">
        <f t="shared" si="30"/>
        <v>0.34025230904928822</v>
      </c>
      <c r="AL93" s="24">
        <f t="shared" si="31"/>
        <v>0.23770466229040674</v>
      </c>
      <c r="AM93" s="24">
        <f t="shared" si="32"/>
        <v>0.36354065006300251</v>
      </c>
      <c r="AN93" s="25">
        <f>1000*AJ93/(Population!V93*0.596+Population!W93)</f>
        <v>67.907258534133859</v>
      </c>
      <c r="AO93" s="25"/>
      <c r="AP93" s="25">
        <f t="shared" si="33"/>
        <v>73.392857142857153</v>
      </c>
      <c r="AQ93" s="25">
        <f t="shared" si="34"/>
        <v>53.30490405117272</v>
      </c>
      <c r="AR93" s="25">
        <f t="shared" si="35"/>
        <v>95.793696899281116</v>
      </c>
      <c r="AS93" s="25">
        <f t="shared" si="36"/>
        <v>74.086723142279013</v>
      </c>
      <c r="AT93" s="25">
        <f t="shared" si="37"/>
        <v>91.659147083239375</v>
      </c>
      <c r="AU93">
        <f>+A93</f>
        <v>1790</v>
      </c>
    </row>
    <row r="94" spans="1:47" x14ac:dyDescent="0.2">
      <c r="A94">
        <v>1791</v>
      </c>
      <c r="B94">
        <v>10111400</v>
      </c>
      <c r="C94" s="25">
        <v>6158</v>
      </c>
      <c r="D94" s="25">
        <f>+'Exports of wines'!C46</f>
        <v>531.73333333333335</v>
      </c>
      <c r="E94" s="25">
        <f>+C94-D94</f>
        <v>5626.2666666666664</v>
      </c>
      <c r="F94" s="24">
        <f>+E94/(Population!AE94+Population!AG94)</f>
        <v>0.44198852380376424</v>
      </c>
      <c r="G94" s="25">
        <f>+C94+(Population!V94-Population!AE94)*0.3</f>
        <v>12901.603258703395</v>
      </c>
      <c r="H94" s="25">
        <v>3131</v>
      </c>
      <c r="I94" s="25">
        <v>20566</v>
      </c>
      <c r="J94" s="25">
        <v>189</v>
      </c>
      <c r="K94" s="25">
        <v>2164</v>
      </c>
      <c r="L94" s="25">
        <v>3</v>
      </c>
      <c r="M94">
        <v>50</v>
      </c>
      <c r="N94" s="25">
        <f t="shared" si="38"/>
        <v>22780</v>
      </c>
      <c r="O94" s="25">
        <f t="shared" si="20"/>
        <v>22780</v>
      </c>
      <c r="P94" s="25">
        <f t="shared" si="21"/>
        <v>68340</v>
      </c>
      <c r="Q94" s="25">
        <f>2.5*Population!U94+1.25*(Population!V94-Population!U94)</f>
        <v>71936.512132998847</v>
      </c>
      <c r="R94">
        <v>11937</v>
      </c>
      <c r="S94" s="33">
        <f t="shared" si="22"/>
        <v>7320</v>
      </c>
      <c r="T94">
        <f>+A94</f>
        <v>1791</v>
      </c>
      <c r="U94" s="25">
        <f t="shared" si="23"/>
        <v>91193.512132998847</v>
      </c>
      <c r="V94" s="25">
        <f t="shared" si="24"/>
        <v>68340</v>
      </c>
      <c r="W94" s="22">
        <v>3</v>
      </c>
      <c r="X94">
        <v>183</v>
      </c>
      <c r="Y94" s="25">
        <f>+'Livestock in possession'!AD93/1000</f>
        <v>13344.196537105905</v>
      </c>
      <c r="Z94" s="40">
        <f>+('Meat supplied to the Company'!Q93*0.2+'Meat supplied to the Company'!R93*0.8)</f>
        <v>5.000000000000001E-2</v>
      </c>
      <c r="AA94" s="25">
        <f t="shared" si="25"/>
        <v>667.20982685529543</v>
      </c>
      <c r="AB94" s="25">
        <f>+'Export of butter'!B40*0.3*0.002</f>
        <v>25.314</v>
      </c>
      <c r="AC94" s="25">
        <f t="shared" si="26"/>
        <v>692.5238268552954</v>
      </c>
      <c r="AD94" s="25"/>
      <c r="AE94" s="24">
        <f>+'Exports in money value'!J96</f>
        <v>5.8510312499999992</v>
      </c>
      <c r="AF94" s="25">
        <f t="shared" si="27"/>
        <v>466.7177824562151</v>
      </c>
      <c r="AG94" s="41">
        <v>55.50752256770312</v>
      </c>
      <c r="AH94" s="25">
        <f t="shared" si="28"/>
        <v>716.13603404203081</v>
      </c>
      <c r="AI94" s="25">
        <v>82.49288250286223</v>
      </c>
      <c r="AJ94" s="25">
        <f t="shared" si="29"/>
        <v>1957.8705258564034</v>
      </c>
      <c r="AK94" s="24">
        <f t="shared" si="30"/>
        <v>0.35371278014023655</v>
      </c>
      <c r="AL94" s="24">
        <f t="shared" si="31"/>
        <v>0.23838030977664643</v>
      </c>
      <c r="AM94" s="24">
        <f t="shared" si="32"/>
        <v>0.36577292756822194</v>
      </c>
      <c r="AN94" s="25">
        <f>1000*AJ94/(Population!V94*0.596+Population!W94)</f>
        <v>69.451388553843799</v>
      </c>
      <c r="AO94" s="25"/>
      <c r="AP94" s="25">
        <f t="shared" si="33"/>
        <v>73.137890624999997</v>
      </c>
      <c r="AQ94" s="25">
        <f t="shared" si="34"/>
        <v>53.30490405117272</v>
      </c>
      <c r="AR94" s="25">
        <f t="shared" si="35"/>
        <v>94.72273475717256</v>
      </c>
      <c r="AS94" s="25">
        <f t="shared" si="36"/>
        <v>73.663447892503584</v>
      </c>
      <c r="AT94" s="25">
        <f t="shared" si="37"/>
        <v>94.282022550985658</v>
      </c>
      <c r="AU94">
        <f>+A94</f>
        <v>1791</v>
      </c>
    </row>
    <row r="95" spans="1:47" x14ac:dyDescent="0.2">
      <c r="A95">
        <v>1792</v>
      </c>
      <c r="B95">
        <v>10010000</v>
      </c>
      <c r="C95" s="25">
        <v>5259</v>
      </c>
      <c r="D95" s="25">
        <f>+'Exports of wines'!C47</f>
        <v>361.06666666666666</v>
      </c>
      <c r="E95" s="25">
        <f>+C95-D95</f>
        <v>4897.9333333333334</v>
      </c>
      <c r="F95" s="24">
        <f>+E95/(Population!AE95+Population!AG95)</f>
        <v>0.38817168609797886</v>
      </c>
      <c r="G95" s="25">
        <f>+C95+(Population!V95-Population!AE95)*0.3</f>
        <v>12086.497625572803</v>
      </c>
      <c r="H95" s="25">
        <v>2661</v>
      </c>
      <c r="I95" s="25">
        <v>12809</v>
      </c>
      <c r="J95" s="25">
        <v>151</v>
      </c>
      <c r="K95" s="25">
        <v>453</v>
      </c>
      <c r="L95" s="25">
        <v>30</v>
      </c>
      <c r="M95">
        <v>330</v>
      </c>
      <c r="N95" s="25">
        <f t="shared" si="38"/>
        <v>13592</v>
      </c>
      <c r="O95" s="25">
        <f t="shared" si="20"/>
        <v>13592</v>
      </c>
      <c r="P95" s="25">
        <f t="shared" si="21"/>
        <v>40776</v>
      </c>
      <c r="Q95" s="25">
        <f>2.5*Population!U95+1.25*(Population!V95-Population!U95)</f>
        <v>72424.369144751807</v>
      </c>
      <c r="R95">
        <v>1613</v>
      </c>
      <c r="S95" s="33">
        <f t="shared" si="22"/>
        <v>6160</v>
      </c>
      <c r="T95">
        <f>+A95</f>
        <v>1792</v>
      </c>
      <c r="U95" s="25">
        <f t="shared" si="23"/>
        <v>80197.369144751807</v>
      </c>
      <c r="V95" s="25">
        <f t="shared" si="24"/>
        <v>40776</v>
      </c>
      <c r="W95" s="22">
        <v>3</v>
      </c>
      <c r="X95">
        <v>154</v>
      </c>
      <c r="Y95" s="25">
        <f>+'Livestock in possession'!AD94/1000</f>
        <v>13488.650501207361</v>
      </c>
      <c r="Z95" s="40">
        <f>+('Meat supplied to the Company'!Q94*0.2+'Meat supplied to the Company'!R94*0.8)</f>
        <v>5.000000000000001E-2</v>
      </c>
      <c r="AA95" s="25">
        <f t="shared" si="25"/>
        <v>674.43252506036822</v>
      </c>
      <c r="AB95" s="25">
        <f>+'Export of butter'!B41*0.3*0.002</f>
        <v>16.609200000000001</v>
      </c>
      <c r="AC95" s="25">
        <f t="shared" si="26"/>
        <v>691.04172506036821</v>
      </c>
      <c r="AD95" s="25"/>
      <c r="AE95" s="24">
        <f>+'Exports in money value'!J97</f>
        <v>5.861538461538462</v>
      </c>
      <c r="AF95" s="25">
        <f t="shared" si="27"/>
        <v>354.54502803192651</v>
      </c>
      <c r="AG95" s="41">
        <v>55.466626661742986</v>
      </c>
      <c r="AH95" s="25">
        <f t="shared" si="28"/>
        <v>670.39725144568968</v>
      </c>
      <c r="AI95" s="25">
        <v>100</v>
      </c>
      <c r="AJ95" s="25">
        <f t="shared" si="29"/>
        <v>1815.9840045379844</v>
      </c>
      <c r="AK95" s="24">
        <f t="shared" si="30"/>
        <v>0.38053293604652666</v>
      </c>
      <c r="AL95" s="24">
        <f t="shared" si="31"/>
        <v>0.19523576592412137</v>
      </c>
      <c r="AM95" s="24">
        <f t="shared" si="32"/>
        <v>0.3691647337038354</v>
      </c>
      <c r="AN95" s="25">
        <f>1000*AJ95/(Population!V95*0.596+Population!W95)</f>
        <v>63.341009435737085</v>
      </c>
      <c r="AO95" s="25"/>
      <c r="AP95" s="25">
        <f t="shared" si="33"/>
        <v>73.269230769230774</v>
      </c>
      <c r="AQ95" s="25">
        <f t="shared" si="34"/>
        <v>53.30490405117272</v>
      </c>
      <c r="AR95" s="25">
        <f t="shared" si="35"/>
        <v>94.652946521745704</v>
      </c>
      <c r="AS95" s="25">
        <f t="shared" si="36"/>
        <v>73.695047479567847</v>
      </c>
      <c r="AT95" s="25">
        <f t="shared" si="37"/>
        <v>85.950157577818985</v>
      </c>
      <c r="AU95">
        <f>+A95</f>
        <v>1792</v>
      </c>
    </row>
    <row r="96" spans="1:47" x14ac:dyDescent="0.2">
      <c r="A96">
        <v>1793</v>
      </c>
      <c r="B96">
        <v>9933300</v>
      </c>
      <c r="C96" s="25">
        <v>5874</v>
      </c>
      <c r="D96" s="25">
        <f>+'Exports of wines'!C48</f>
        <v>708</v>
      </c>
      <c r="E96" s="25">
        <f>+C96-D96</f>
        <v>5166</v>
      </c>
      <c r="F96" s="24">
        <f>+E96/(Population!AE96+Population!AG96)</f>
        <v>0.40054491523962737</v>
      </c>
      <c r="G96" s="25">
        <f>+C96+(Population!V96-Population!AE96)*0.3</f>
        <v>13168.239146507933</v>
      </c>
      <c r="H96" s="25">
        <v>4571</v>
      </c>
      <c r="I96" s="25">
        <v>29597</v>
      </c>
      <c r="J96" s="25">
        <v>332</v>
      </c>
      <c r="K96" s="25">
        <v>1871</v>
      </c>
      <c r="L96" s="25">
        <v>21</v>
      </c>
      <c r="M96">
        <v>146</v>
      </c>
      <c r="N96" s="25">
        <f t="shared" si="38"/>
        <v>31614</v>
      </c>
      <c r="O96" s="25">
        <f t="shared" si="20"/>
        <v>31614</v>
      </c>
      <c r="P96" s="25">
        <f t="shared" si="21"/>
        <v>94842</v>
      </c>
      <c r="Q96" s="25">
        <f>2.5*Population!U96+1.25*(Population!V96-Population!U96)</f>
        <v>78285.805895405065</v>
      </c>
      <c r="R96">
        <v>9679</v>
      </c>
      <c r="S96" s="33">
        <f t="shared" si="22"/>
        <v>5120</v>
      </c>
      <c r="T96">
        <f>+A96</f>
        <v>1793</v>
      </c>
      <c r="U96" s="25">
        <f t="shared" si="23"/>
        <v>93084.805895405065</v>
      </c>
      <c r="V96" s="25">
        <f t="shared" si="24"/>
        <v>94842</v>
      </c>
      <c r="W96" s="22">
        <v>3</v>
      </c>
      <c r="X96">
        <v>128</v>
      </c>
      <c r="Y96" s="25">
        <f>+'Livestock in possession'!AD95/1000</f>
        <v>13316.318792529746</v>
      </c>
      <c r="Z96" s="40">
        <f>+('Meat supplied to the Company'!Q95*0.2+'Meat supplied to the Company'!R95*0.8)</f>
        <v>3.8928571428571437E-2</v>
      </c>
      <c r="AA96" s="25">
        <f t="shared" si="25"/>
        <v>518.38526728062243</v>
      </c>
      <c r="AB96" s="25">
        <f>+'Export of butter'!B42*0.3*0.002</f>
        <v>23.613</v>
      </c>
      <c r="AC96" s="25">
        <f t="shared" si="26"/>
        <v>541.99826728062249</v>
      </c>
      <c r="AD96" s="25"/>
      <c r="AE96" s="31">
        <v>5.86</v>
      </c>
      <c r="AF96" s="25">
        <f t="shared" si="27"/>
        <v>550.6255412735369</v>
      </c>
      <c r="AG96" s="41">
        <v>55.422598870056504</v>
      </c>
      <c r="AH96" s="25">
        <f t="shared" si="28"/>
        <v>729.81803604188428</v>
      </c>
      <c r="AI96" s="25">
        <v>100</v>
      </c>
      <c r="AJ96" s="25">
        <f t="shared" si="29"/>
        <v>1922.4418445960437</v>
      </c>
      <c r="AK96" s="24">
        <f t="shared" si="30"/>
        <v>0.28193220450552081</v>
      </c>
      <c r="AL96" s="24">
        <f t="shared" si="31"/>
        <v>0.28641986899179156</v>
      </c>
      <c r="AM96" s="24">
        <f t="shared" si="32"/>
        <v>0.37963074830762361</v>
      </c>
      <c r="AN96" s="25">
        <f>1000*AJ96/(Population!V96*0.596+Population!W96)</f>
        <v>61.68057539684375</v>
      </c>
      <c r="AO96" s="25"/>
      <c r="AP96" s="25">
        <f t="shared" si="33"/>
        <v>73.25</v>
      </c>
      <c r="AQ96" s="25">
        <f t="shared" si="34"/>
        <v>41.501675296984473</v>
      </c>
      <c r="AR96" s="25">
        <f t="shared" si="35"/>
        <v>94.577813771427472</v>
      </c>
      <c r="AS96" s="25">
        <f t="shared" si="36"/>
        <v>70.123846720523574</v>
      </c>
      <c r="AT96" s="25">
        <f t="shared" si="37"/>
        <v>87.959486367982322</v>
      </c>
      <c r="AU96">
        <f>+A96</f>
        <v>1793</v>
      </c>
    </row>
    <row r="97" spans="1:47" x14ac:dyDescent="0.2">
      <c r="A97">
        <v>1794</v>
      </c>
      <c r="B97">
        <f>+(B96+B98)/2</f>
        <v>9952855</v>
      </c>
      <c r="C97" s="25">
        <f>+(C96+C98)/2</f>
        <v>6072.75</v>
      </c>
      <c r="D97" s="25">
        <f>+'Exports of wines'!C49</f>
        <v>0</v>
      </c>
      <c r="E97" s="25">
        <f>+C97-D97</f>
        <v>6072.75</v>
      </c>
      <c r="F97" s="24"/>
      <c r="G97" s="25">
        <f>+C97+(Population!V97-Population!AE97)*0.3</f>
        <v>13816.340303186233</v>
      </c>
      <c r="H97" s="25"/>
      <c r="I97" s="25"/>
      <c r="J97" s="25"/>
      <c r="K97" s="25"/>
      <c r="L97" s="25"/>
      <c r="N97" s="32">
        <f>+(N96+N98)/2</f>
        <v>28250.5</v>
      </c>
      <c r="O97" s="25">
        <f t="shared" si="20"/>
        <v>28250.5</v>
      </c>
      <c r="P97" s="25">
        <f t="shared" si="21"/>
        <v>84751.5</v>
      </c>
      <c r="Q97" s="25">
        <f>2.5*Population!U97+1.25*(Population!V97-Population!U97)</f>
        <v>83308.601965135022</v>
      </c>
      <c r="R97">
        <v>0</v>
      </c>
      <c r="S97" s="33">
        <f t="shared" si="22"/>
        <v>3440</v>
      </c>
      <c r="T97">
        <f>+A97</f>
        <v>1794</v>
      </c>
      <c r="U97" s="25">
        <f t="shared" si="23"/>
        <v>86748.601965135022</v>
      </c>
      <c r="V97" s="25">
        <f t="shared" si="24"/>
        <v>84751.5</v>
      </c>
      <c r="W97" s="22">
        <v>3</v>
      </c>
      <c r="X97">
        <v>86</v>
      </c>
      <c r="Y97" s="25">
        <f>+'Livestock in possession'!AD96/1000</f>
        <v>12698.908612915107</v>
      </c>
      <c r="Z97" s="40">
        <v>0.05</v>
      </c>
      <c r="AA97" s="25">
        <f t="shared" si="25"/>
        <v>634.94543064575544</v>
      </c>
      <c r="AB97" s="25">
        <f>+'Export of butter'!B43*0.3*0.002</f>
        <v>0</v>
      </c>
      <c r="AC97" s="25">
        <f t="shared" si="26"/>
        <v>634.94543064575544</v>
      </c>
      <c r="AD97" s="25"/>
      <c r="AE97" s="31">
        <v>5.86</v>
      </c>
      <c r="AF97" s="25">
        <f t="shared" si="27"/>
        <v>502.49529875784566</v>
      </c>
      <c r="AG97" s="41">
        <v>55.422598870056504</v>
      </c>
      <c r="AH97" s="25">
        <f t="shared" si="28"/>
        <v>765.73748647568539</v>
      </c>
      <c r="AI97" s="25">
        <v>100</v>
      </c>
      <c r="AJ97" s="25">
        <f t="shared" si="29"/>
        <v>2003.1782158792867</v>
      </c>
      <c r="AK97" s="24">
        <f t="shared" si="30"/>
        <v>0.31696901734080052</v>
      </c>
      <c r="AL97" s="24">
        <f t="shared" ref="AL97:AL98" si="39">+AF97/AJ97</f>
        <v>0.25084902320449681</v>
      </c>
      <c r="AM97" s="24">
        <f t="shared" ref="AM97:AM98" si="40">+AH97/AJ97</f>
        <v>0.38226128878881011</v>
      </c>
      <c r="AN97" s="25">
        <f>1000*AJ97/(Population!V97*0.596+Population!W97)</f>
        <v>59.524077166389517</v>
      </c>
      <c r="AO97" s="25"/>
      <c r="AP97" s="25">
        <f t="shared" ref="AP97:AP98" si="41">+AE97*100/8</f>
        <v>73.25</v>
      </c>
      <c r="AQ97" s="25">
        <f t="shared" ref="AQ97:AQ98" si="42">+Z97*100/0.0938</f>
        <v>53.304904051172713</v>
      </c>
      <c r="AR97" s="25">
        <f t="shared" ref="AR97:AR98" si="43">+AG97*100/58.6</f>
        <v>94.577813771427472</v>
      </c>
      <c r="AS97" s="25">
        <f t="shared" ref="AS97:AS98" si="44">+AP97*0.4+AQ97*0.3+AR97*0.3</f>
        <v>73.664815346780046</v>
      </c>
      <c r="AT97" s="25">
        <f t="shared" ref="AT97:AT98" si="45">100*AN97/AS97</f>
        <v>80.803945392624087</v>
      </c>
      <c r="AU97">
        <f t="shared" ref="AU97:AU98" si="46">+A97</f>
        <v>1794</v>
      </c>
    </row>
    <row r="98" spans="1:47" x14ac:dyDescent="0.2">
      <c r="A98">
        <v>1795</v>
      </c>
      <c r="B98">
        <v>9972410</v>
      </c>
      <c r="C98" s="25">
        <v>6271.5</v>
      </c>
      <c r="D98" s="25">
        <f>+'Exports of wines'!C50</f>
        <v>0</v>
      </c>
      <c r="E98" s="25">
        <f>+C98-D98</f>
        <v>6271.5</v>
      </c>
      <c r="F98" s="24">
        <f>+E98/(Population!AE98+Population!AG98)</f>
        <v>0.48503731688406304</v>
      </c>
      <c r="G98" s="25">
        <f>+C98+(Population!V98-Population!AE98)*0.3</f>
        <v>14046.673530725544</v>
      </c>
      <c r="H98" s="25">
        <v>3336</v>
      </c>
      <c r="I98" s="72">
        <v>22936</v>
      </c>
      <c r="J98" s="25">
        <v>138</v>
      </c>
      <c r="K98" s="25">
        <v>1735</v>
      </c>
      <c r="L98" s="25">
        <v>18</v>
      </c>
      <c r="M98">
        <v>216</v>
      </c>
      <c r="N98" s="25">
        <f t="shared" si="38"/>
        <v>24887</v>
      </c>
      <c r="O98" s="25">
        <f t="shared" si="20"/>
        <v>24887</v>
      </c>
      <c r="P98" s="25">
        <f t="shared" si="21"/>
        <v>74661</v>
      </c>
      <c r="Q98" s="25">
        <f>2.5*Population!U98+1.25*(Population!V98-Population!U98)</f>
        <v>83008.75</v>
      </c>
      <c r="R98">
        <v>0</v>
      </c>
      <c r="S98" s="33">
        <f t="shared" si="22"/>
        <v>5480</v>
      </c>
      <c r="T98">
        <f>+A98</f>
        <v>1795</v>
      </c>
      <c r="U98" s="25">
        <f t="shared" si="23"/>
        <v>88488.75</v>
      </c>
      <c r="V98" s="25">
        <f t="shared" si="24"/>
        <v>74661</v>
      </c>
      <c r="W98" s="22">
        <v>3</v>
      </c>
      <c r="X98">
        <v>137</v>
      </c>
      <c r="Y98" s="25">
        <f>+'Livestock in possession'!AD97/1000</f>
        <v>12463.681391881131</v>
      </c>
      <c r="Z98" s="40">
        <v>0.05</v>
      </c>
      <c r="AA98" s="25">
        <f t="shared" si="25"/>
        <v>623.18406959405661</v>
      </c>
      <c r="AB98" s="25">
        <f>+'Export of butter'!B44*0.3*0.002</f>
        <v>0</v>
      </c>
      <c r="AC98" s="25">
        <f t="shared" si="26"/>
        <v>623.18406959405661</v>
      </c>
      <c r="AD98" s="25"/>
      <c r="AE98" s="31">
        <v>5.86</v>
      </c>
      <c r="AF98" s="25">
        <f t="shared" si="27"/>
        <v>478.02876750000001</v>
      </c>
      <c r="AG98" s="41">
        <v>55.4</v>
      </c>
      <c r="AH98" s="25">
        <f t="shared" si="28"/>
        <v>778.18571360219516</v>
      </c>
      <c r="AI98" s="25">
        <v>100</v>
      </c>
      <c r="AJ98" s="25">
        <f t="shared" si="29"/>
        <v>1979.3985506962517</v>
      </c>
      <c r="AK98" s="24">
        <f t="shared" si="30"/>
        <v>0.31483506410310957</v>
      </c>
      <c r="AL98" s="24">
        <f t="shared" si="39"/>
        <v>0.24150202966040055</v>
      </c>
      <c r="AM98" s="24">
        <f t="shared" si="40"/>
        <v>0.39314250954082441</v>
      </c>
      <c r="AN98" s="25">
        <f>1000*AJ98/(Population!V98*0.596+Population!W98)</f>
        <v>58.467556676301925</v>
      </c>
      <c r="AO98" s="25"/>
      <c r="AP98" s="25">
        <f t="shared" si="41"/>
        <v>73.25</v>
      </c>
      <c r="AQ98" s="25">
        <f t="shared" si="42"/>
        <v>53.304904051172713</v>
      </c>
      <c r="AR98" s="25">
        <f t="shared" si="43"/>
        <v>94.539249146757683</v>
      </c>
      <c r="AS98" s="25">
        <f t="shared" si="44"/>
        <v>73.65324595937912</v>
      </c>
      <c r="AT98" s="25">
        <f t="shared" si="45"/>
        <v>79.382185964414475</v>
      </c>
      <c r="AU98">
        <f t="shared" si="46"/>
        <v>1795</v>
      </c>
    </row>
    <row r="99" spans="1:47" x14ac:dyDescent="0.2">
      <c r="Y99" s="25"/>
      <c r="Z99" s="40"/>
    </row>
    <row r="100" spans="1:47" x14ac:dyDescent="0.2">
      <c r="B100" t="s">
        <v>59</v>
      </c>
      <c r="F100">
        <f>AVERAGE(F3:F99)</f>
        <v>0.37739757903206395</v>
      </c>
      <c r="G100" s="25"/>
    </row>
    <row r="101" spans="1:47" x14ac:dyDescent="0.2">
      <c r="B101" t="s">
        <v>60</v>
      </c>
      <c r="G101" s="25"/>
      <c r="AJ101" s="25"/>
    </row>
    <row r="102" spans="1:47" x14ac:dyDescent="0.2">
      <c r="B102" t="s">
        <v>61</v>
      </c>
      <c r="G102" s="25"/>
      <c r="AJ102" s="25"/>
    </row>
    <row r="103" spans="1:47" x14ac:dyDescent="0.2">
      <c r="B103" t="s">
        <v>62</v>
      </c>
      <c r="G103" s="25"/>
      <c r="AJ103" s="25"/>
    </row>
    <row r="104" spans="1:47" x14ac:dyDescent="0.2">
      <c r="B104" t="s">
        <v>63</v>
      </c>
      <c r="G104" s="25"/>
      <c r="AJ104" s="25"/>
    </row>
    <row r="105" spans="1:47" x14ac:dyDescent="0.2">
      <c r="B105" t="s">
        <v>64</v>
      </c>
      <c r="AJ105" s="25"/>
    </row>
    <row r="106" spans="1:47" x14ac:dyDescent="0.2">
      <c r="B106" t="s">
        <v>65</v>
      </c>
      <c r="AJ106" s="25"/>
    </row>
    <row r="108" spans="1:47" x14ac:dyDescent="0.2">
      <c r="B108" s="7" t="s">
        <v>66</v>
      </c>
      <c r="C108" s="7"/>
      <c r="D108" s="7"/>
      <c r="E108" s="7"/>
      <c r="F108" s="7"/>
      <c r="G108" s="7"/>
      <c r="H108" s="7"/>
      <c r="I108" s="7"/>
    </row>
    <row r="109" spans="1:47" x14ac:dyDescent="0.2">
      <c r="B109" s="8" t="s">
        <v>67</v>
      </c>
      <c r="C109" s="8"/>
      <c r="D109" s="8"/>
      <c r="E109" s="8"/>
      <c r="F109" s="8"/>
      <c r="G109" s="8"/>
      <c r="H109" s="8"/>
      <c r="I109" s="8"/>
    </row>
    <row r="110" spans="1:47" x14ac:dyDescent="0.2">
      <c r="B110" s="9" t="s">
        <v>68</v>
      </c>
      <c r="C110" s="9"/>
      <c r="D110" s="9"/>
      <c r="E110" s="9"/>
      <c r="F110" s="9"/>
      <c r="G110" s="9"/>
      <c r="H110" s="9"/>
      <c r="I110" s="9"/>
    </row>
    <row r="111" spans="1:47" x14ac:dyDescent="0.2">
      <c r="B111" s="13" t="s">
        <v>69</v>
      </c>
      <c r="C111" s="13"/>
      <c r="D111" s="13"/>
      <c r="E111" s="13"/>
      <c r="F111" s="13"/>
      <c r="G111" s="13"/>
      <c r="H111" s="13"/>
      <c r="I111" s="13"/>
      <c r="J111" s="13"/>
      <c r="K111" s="13"/>
      <c r="L111" s="13"/>
    </row>
    <row r="112" spans="1:47" x14ac:dyDescent="0.2">
      <c r="B112" s="13" t="s">
        <v>70</v>
      </c>
      <c r="C112" s="13"/>
      <c r="D112" s="13"/>
      <c r="E112" s="13"/>
      <c r="F112" s="13"/>
      <c r="G112" s="13"/>
      <c r="H112" s="13"/>
      <c r="I112" s="13"/>
    </row>
    <row r="113" spans="2:12" x14ac:dyDescent="0.2">
      <c r="B113" s="14" t="s">
        <v>71</v>
      </c>
      <c r="C113" s="14"/>
      <c r="D113" s="14"/>
      <c r="E113" s="14"/>
      <c r="F113" s="14"/>
      <c r="G113" s="14"/>
      <c r="H113" s="14"/>
      <c r="I113" s="14"/>
      <c r="J113" s="14"/>
      <c r="K113" s="14"/>
      <c r="L113" s="14"/>
    </row>
    <row r="114" spans="2:12" x14ac:dyDescent="0.2">
      <c r="B114" s="15" t="s">
        <v>72</v>
      </c>
      <c r="C114" s="15"/>
      <c r="D114" s="15"/>
      <c r="E114" s="15"/>
      <c r="F114" s="15"/>
      <c r="G114" s="15"/>
      <c r="H114" s="15"/>
      <c r="I114" s="15"/>
      <c r="J114" s="15"/>
      <c r="K114" s="15"/>
      <c r="L114" s="15"/>
    </row>
    <row r="115" spans="2:12" x14ac:dyDescent="0.2">
      <c r="B115" s="4" t="s">
        <v>73</v>
      </c>
      <c r="C115" s="4"/>
      <c r="D115" s="4"/>
      <c r="E115" s="4"/>
      <c r="F115" s="4"/>
      <c r="G115" s="4"/>
      <c r="H115" s="4"/>
      <c r="I115" s="4"/>
      <c r="J115" s="4"/>
      <c r="K115" s="4"/>
      <c r="L115" s="4"/>
    </row>
    <row r="116" spans="2:12" x14ac:dyDescent="0.2">
      <c r="B116" s="16" t="s">
        <v>74</v>
      </c>
      <c r="C116" s="16"/>
      <c r="D116" s="16"/>
      <c r="E116" s="16"/>
      <c r="F116" s="16"/>
      <c r="G116" s="16"/>
      <c r="H116" s="16"/>
      <c r="I116" s="16"/>
      <c r="J116" s="16"/>
      <c r="K116" s="16"/>
      <c r="L116" s="16"/>
    </row>
    <row r="117" spans="2:12" x14ac:dyDescent="0.2">
      <c r="B117" s="17" t="s">
        <v>75</v>
      </c>
      <c r="C117" s="17"/>
      <c r="D117" s="17"/>
      <c r="E117" s="17"/>
      <c r="F117" s="17"/>
      <c r="G117" s="17"/>
      <c r="H117" s="17"/>
      <c r="I117" s="17"/>
    </row>
    <row r="118" spans="2:12" x14ac:dyDescent="0.2">
      <c r="B118" s="18" t="s">
        <v>76</v>
      </c>
      <c r="C118" s="18"/>
      <c r="D118" s="18"/>
      <c r="E118" s="18"/>
      <c r="F118" s="18"/>
      <c r="G118" s="18"/>
      <c r="H118" s="18"/>
      <c r="I118" s="18"/>
    </row>
    <row r="119" spans="2:12" x14ac:dyDescent="0.2">
      <c r="B119" s="1" t="s">
        <v>77</v>
      </c>
      <c r="C119" s="1"/>
      <c r="D119" s="1"/>
      <c r="E119" s="1"/>
      <c r="F119" s="1"/>
      <c r="G119" s="1"/>
      <c r="H119" s="1"/>
      <c r="I119" s="1"/>
      <c r="J119" s="1"/>
    </row>
  </sheetData>
  <phoneticPr fontId="5" type="noConversion"/>
  <pageMargins left="0.75" right="0.75" top="1" bottom="1" header="0.5" footer="0.5"/>
  <pageSetup paperSize="9" orientation="portrait"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opLeftCell="A9" workbookViewId="0">
      <selection activeCell="C38" sqref="C38"/>
    </sheetView>
  </sheetViews>
  <sheetFormatPr defaultRowHeight="12.75" x14ac:dyDescent="0.2"/>
  <sheetData>
    <row r="1" spans="1:7" x14ac:dyDescent="0.2">
      <c r="A1" t="s">
        <v>78</v>
      </c>
    </row>
    <row r="2" spans="1:7" s="5" customFormat="1" x14ac:dyDescent="0.2">
      <c r="A2" s="5" t="s">
        <v>79</v>
      </c>
      <c r="B2" s="20" t="s">
        <v>80</v>
      </c>
      <c r="C2" s="12" t="s">
        <v>81</v>
      </c>
      <c r="D2" s="21" t="s">
        <v>82</v>
      </c>
      <c r="E2" s="5" t="s">
        <v>33</v>
      </c>
    </row>
    <row r="3" spans="1:7" s="5" customFormat="1" x14ac:dyDescent="0.2">
      <c r="B3" s="20" t="s">
        <v>83</v>
      </c>
      <c r="C3" s="12" t="s">
        <v>84</v>
      </c>
    </row>
    <row r="4" spans="1:7" x14ac:dyDescent="0.2">
      <c r="A4" t="s">
        <v>85</v>
      </c>
      <c r="B4">
        <v>2805</v>
      </c>
      <c r="C4">
        <v>2760</v>
      </c>
      <c r="D4">
        <v>2143</v>
      </c>
      <c r="E4">
        <v>7708</v>
      </c>
    </row>
    <row r="5" spans="1:7" x14ac:dyDescent="0.2">
      <c r="A5" t="s">
        <v>86</v>
      </c>
      <c r="B5">
        <v>4133</v>
      </c>
      <c r="C5">
        <v>2736</v>
      </c>
      <c r="D5">
        <v>2011</v>
      </c>
      <c r="E5">
        <v>8880</v>
      </c>
      <c r="F5">
        <v>16852</v>
      </c>
      <c r="G5">
        <f>D5/F5</f>
        <v>0.1193330168525991</v>
      </c>
    </row>
    <row r="6" spans="1:7" x14ac:dyDescent="0.2">
      <c r="A6" t="s">
        <v>87</v>
      </c>
      <c r="B6">
        <v>4440</v>
      </c>
      <c r="C6">
        <v>3112</v>
      </c>
      <c r="D6">
        <v>5870</v>
      </c>
      <c r="E6">
        <v>13422</v>
      </c>
      <c r="F6">
        <v>17197</v>
      </c>
      <c r="G6">
        <f t="shared" ref="G6:G21" si="0">D6/F6</f>
        <v>0.34133860557073908</v>
      </c>
    </row>
    <row r="7" spans="1:7" x14ac:dyDescent="0.2">
      <c r="A7" t="s">
        <v>88</v>
      </c>
      <c r="B7">
        <v>5138</v>
      </c>
      <c r="C7">
        <v>3824</v>
      </c>
      <c r="D7">
        <v>1943</v>
      </c>
      <c r="E7">
        <v>10905</v>
      </c>
      <c r="F7">
        <v>15927</v>
      </c>
      <c r="G7">
        <f t="shared" si="0"/>
        <v>0.12199409807245558</v>
      </c>
    </row>
    <row r="8" spans="1:7" x14ac:dyDescent="0.2">
      <c r="A8" t="s">
        <v>89</v>
      </c>
      <c r="B8">
        <v>6498</v>
      </c>
      <c r="C8">
        <v>3304</v>
      </c>
      <c r="D8">
        <v>2835</v>
      </c>
      <c r="E8">
        <v>12637</v>
      </c>
      <c r="F8">
        <v>15022</v>
      </c>
      <c r="G8">
        <f t="shared" si="0"/>
        <v>0.18872320596458528</v>
      </c>
    </row>
    <row r="9" spans="1:7" x14ac:dyDescent="0.2">
      <c r="A9" t="s">
        <v>90</v>
      </c>
      <c r="B9">
        <v>7395</v>
      </c>
      <c r="C9">
        <v>3072</v>
      </c>
      <c r="D9">
        <v>6327</v>
      </c>
      <c r="E9">
        <v>16794</v>
      </c>
      <c r="F9">
        <v>22756</v>
      </c>
      <c r="G9">
        <f t="shared" si="0"/>
        <v>0.27803656178590264</v>
      </c>
    </row>
    <row r="10" spans="1:7" x14ac:dyDescent="0.2">
      <c r="A10" t="s">
        <v>91</v>
      </c>
      <c r="B10">
        <v>8963</v>
      </c>
      <c r="C10">
        <v>3272</v>
      </c>
      <c r="D10">
        <v>6775</v>
      </c>
      <c r="E10">
        <v>19010</v>
      </c>
      <c r="F10">
        <v>22658</v>
      </c>
      <c r="G10">
        <f t="shared" si="0"/>
        <v>0.29901138670668198</v>
      </c>
    </row>
    <row r="11" spans="1:7" x14ac:dyDescent="0.2">
      <c r="A11" t="s">
        <v>92</v>
      </c>
      <c r="B11">
        <v>9483</v>
      </c>
      <c r="C11">
        <v>2736</v>
      </c>
      <c r="D11">
        <v>9183</v>
      </c>
      <c r="E11">
        <v>21402</v>
      </c>
      <c r="F11">
        <v>24746</v>
      </c>
      <c r="G11">
        <f t="shared" si="0"/>
        <v>0.37109027721651983</v>
      </c>
    </row>
    <row r="12" spans="1:7" x14ac:dyDescent="0.2">
      <c r="A12" t="s">
        <v>93</v>
      </c>
      <c r="B12">
        <v>9518</v>
      </c>
      <c r="C12">
        <v>2992</v>
      </c>
      <c r="D12">
        <v>10064</v>
      </c>
      <c r="E12">
        <v>22574</v>
      </c>
      <c r="F12">
        <v>28553</v>
      </c>
      <c r="G12">
        <f t="shared" si="0"/>
        <v>0.35246734143522573</v>
      </c>
    </row>
    <row r="13" spans="1:7" x14ac:dyDescent="0.2">
      <c r="A13" t="s">
        <v>94</v>
      </c>
      <c r="B13">
        <v>10563</v>
      </c>
      <c r="C13">
        <v>2976</v>
      </c>
      <c r="D13">
        <v>8374</v>
      </c>
      <c r="E13">
        <v>21913</v>
      </c>
      <c r="F13">
        <v>27562</v>
      </c>
      <c r="G13">
        <f t="shared" si="0"/>
        <v>0.30382410565271023</v>
      </c>
    </row>
    <row r="14" spans="1:7" x14ac:dyDescent="0.2">
      <c r="A14" t="s">
        <v>95</v>
      </c>
      <c r="B14">
        <v>11430</v>
      </c>
      <c r="C14">
        <v>2536</v>
      </c>
      <c r="D14">
        <v>14045</v>
      </c>
      <c r="E14">
        <v>28011</v>
      </c>
      <c r="F14">
        <v>35512</v>
      </c>
      <c r="G14">
        <f t="shared" si="0"/>
        <v>0.39550011263798152</v>
      </c>
    </row>
    <row r="15" spans="1:7" x14ac:dyDescent="0.2">
      <c r="A15" t="s">
        <v>96</v>
      </c>
      <c r="B15">
        <v>12563</v>
      </c>
      <c r="C15">
        <v>2760</v>
      </c>
      <c r="D15">
        <v>13210</v>
      </c>
      <c r="E15">
        <v>28533</v>
      </c>
      <c r="F15">
        <v>35874</v>
      </c>
      <c r="G15">
        <f t="shared" si="0"/>
        <v>0.36823326085744551</v>
      </c>
    </row>
    <row r="16" spans="1:7" x14ac:dyDescent="0.2">
      <c r="A16" t="s">
        <v>97</v>
      </c>
      <c r="B16">
        <v>14865</v>
      </c>
      <c r="C16">
        <v>2800</v>
      </c>
      <c r="D16">
        <v>9845</v>
      </c>
      <c r="E16">
        <v>27510</v>
      </c>
      <c r="F16">
        <v>33975</v>
      </c>
      <c r="G16">
        <f t="shared" si="0"/>
        <v>0.2897718910963944</v>
      </c>
    </row>
    <row r="17" spans="1:7" x14ac:dyDescent="0.2">
      <c r="A17" t="s">
        <v>98</v>
      </c>
      <c r="B17">
        <v>16018</v>
      </c>
      <c r="C17">
        <v>3960</v>
      </c>
      <c r="D17">
        <v>16825</v>
      </c>
      <c r="E17">
        <v>36803</v>
      </c>
      <c r="F17">
        <v>45213</v>
      </c>
      <c r="G17">
        <f t="shared" si="0"/>
        <v>0.37212748545772234</v>
      </c>
    </row>
    <row r="18" spans="1:7" x14ac:dyDescent="0.2">
      <c r="A18" t="s">
        <v>99</v>
      </c>
      <c r="B18">
        <v>18470</v>
      </c>
      <c r="C18">
        <v>4784</v>
      </c>
      <c r="D18">
        <v>25544</v>
      </c>
      <c r="E18">
        <v>48798</v>
      </c>
      <c r="F18">
        <v>53759</v>
      </c>
      <c r="G18">
        <f t="shared" si="0"/>
        <v>0.47515764802172661</v>
      </c>
    </row>
    <row r="19" spans="1:7" x14ac:dyDescent="0.2">
      <c r="A19" t="s">
        <v>100</v>
      </c>
      <c r="B19">
        <v>20835</v>
      </c>
      <c r="C19">
        <v>4696</v>
      </c>
      <c r="D19">
        <v>16976</v>
      </c>
      <c r="E19">
        <v>42507</v>
      </c>
      <c r="F19">
        <v>50887</v>
      </c>
      <c r="G19">
        <f t="shared" si="0"/>
        <v>0.33360190225401382</v>
      </c>
    </row>
    <row r="20" spans="1:7" x14ac:dyDescent="0.2">
      <c r="A20" t="s">
        <v>101</v>
      </c>
      <c r="B20">
        <v>24053</v>
      </c>
      <c r="C20">
        <v>6568</v>
      </c>
      <c r="D20">
        <v>2965</v>
      </c>
      <c r="E20">
        <v>33586</v>
      </c>
      <c r="F20">
        <v>36727</v>
      </c>
      <c r="G20">
        <f t="shared" si="0"/>
        <v>8.0730797505922075E-2</v>
      </c>
    </row>
    <row r="21" spans="1:7" x14ac:dyDescent="0.2">
      <c r="A21" t="s">
        <v>102</v>
      </c>
      <c r="B21">
        <v>26118</v>
      </c>
      <c r="C21">
        <v>6488</v>
      </c>
      <c r="D21">
        <v>5213</v>
      </c>
      <c r="E21">
        <v>37819</v>
      </c>
      <c r="F21">
        <v>57517</v>
      </c>
      <c r="G21">
        <f t="shared" si="0"/>
        <v>9.0634073404384785E-2</v>
      </c>
    </row>
    <row r="22" spans="1:7" x14ac:dyDescent="0.2">
      <c r="B22" s="7"/>
      <c r="C22" s="7"/>
      <c r="D22" s="7"/>
      <c r="E22" s="7"/>
      <c r="F22" s="7"/>
      <c r="G22" s="7"/>
    </row>
    <row r="23" spans="1:7" x14ac:dyDescent="0.2">
      <c r="B23" s="7" t="s">
        <v>103</v>
      </c>
      <c r="C23" s="7"/>
      <c r="D23" s="7"/>
      <c r="E23" s="7"/>
      <c r="F23" s="7"/>
      <c r="G23" s="7"/>
    </row>
    <row r="24" spans="1:7" x14ac:dyDescent="0.2">
      <c r="B24" s="7" t="s">
        <v>104</v>
      </c>
      <c r="C24" s="7"/>
      <c r="D24" s="7"/>
      <c r="E24" s="7"/>
      <c r="F24" s="7"/>
      <c r="G24" s="7"/>
    </row>
    <row r="25" spans="1:7" x14ac:dyDescent="0.2">
      <c r="B25" s="7" t="s">
        <v>105</v>
      </c>
      <c r="C25" s="7"/>
      <c r="D25" s="7"/>
      <c r="E25" s="7"/>
      <c r="F25" s="7"/>
      <c r="G25" s="7"/>
    </row>
    <row r="26" spans="1:7" x14ac:dyDescent="0.2">
      <c r="B26" s="8" t="s">
        <v>106</v>
      </c>
      <c r="C26" s="8"/>
      <c r="D26" s="8"/>
      <c r="E26" s="8"/>
      <c r="F26" s="8"/>
    </row>
    <row r="27" spans="1:7" x14ac:dyDescent="0.2">
      <c r="B27" s="9" t="s">
        <v>107</v>
      </c>
      <c r="C27" s="9"/>
      <c r="D27" s="9"/>
      <c r="E27" s="9"/>
      <c r="F27" s="9"/>
    </row>
    <row r="28" spans="1:7" x14ac:dyDescent="0.2">
      <c r="B28" s="9" t="s">
        <v>108</v>
      </c>
      <c r="C28" s="9"/>
      <c r="D28" s="9"/>
      <c r="E28" s="9"/>
      <c r="F28" s="9"/>
    </row>
  </sheetData>
  <phoneticPr fontId="5"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opLeftCell="A23" workbookViewId="0">
      <selection activeCell="A52" sqref="A52"/>
    </sheetView>
  </sheetViews>
  <sheetFormatPr defaultRowHeight="12.75" x14ac:dyDescent="0.2"/>
  <sheetData>
    <row r="1" spans="1:4" x14ac:dyDescent="0.2">
      <c r="A1" t="s">
        <v>109</v>
      </c>
    </row>
    <row r="2" spans="1:4" s="5" customFormat="1" x14ac:dyDescent="0.2">
      <c r="A2" s="5" t="s">
        <v>79</v>
      </c>
      <c r="B2" s="5" t="s">
        <v>110</v>
      </c>
      <c r="C2" s="5" t="s">
        <v>111</v>
      </c>
    </row>
    <row r="3" spans="1:4" s="5" customFormat="1" x14ac:dyDescent="0.2">
      <c r="B3" s="5" t="s">
        <v>112</v>
      </c>
      <c r="C3" s="5" t="s">
        <v>57</v>
      </c>
      <c r="D3" s="5" t="s">
        <v>58</v>
      </c>
    </row>
    <row r="4" spans="1:4" x14ac:dyDescent="0.2">
      <c r="A4" t="s">
        <v>86</v>
      </c>
      <c r="B4">
        <v>1.3</v>
      </c>
      <c r="C4">
        <v>1975</v>
      </c>
      <c r="D4">
        <v>16852</v>
      </c>
    </row>
    <row r="5" spans="1:4" x14ac:dyDescent="0.2">
      <c r="A5" t="s">
        <v>87</v>
      </c>
      <c r="B5">
        <v>1.3</v>
      </c>
      <c r="C5">
        <v>1941</v>
      </c>
      <c r="D5">
        <v>17197</v>
      </c>
    </row>
    <row r="6" spans="1:4" x14ac:dyDescent="0.2">
      <c r="A6" t="s">
        <v>88</v>
      </c>
      <c r="B6">
        <v>1.3</v>
      </c>
      <c r="C6">
        <v>2135</v>
      </c>
      <c r="D6">
        <v>15927</v>
      </c>
    </row>
    <row r="7" spans="1:4" x14ac:dyDescent="0.2">
      <c r="A7" t="s">
        <v>89</v>
      </c>
      <c r="B7">
        <v>1.3</v>
      </c>
      <c r="C7">
        <v>2519</v>
      </c>
      <c r="D7">
        <v>15022</v>
      </c>
    </row>
    <row r="8" spans="1:4" x14ac:dyDescent="0.2">
      <c r="A8" t="s">
        <v>90</v>
      </c>
      <c r="B8">
        <v>1.3</v>
      </c>
      <c r="C8">
        <v>3054</v>
      </c>
      <c r="D8">
        <v>22756</v>
      </c>
    </row>
    <row r="9" spans="1:4" x14ac:dyDescent="0.2">
      <c r="A9" t="s">
        <v>91</v>
      </c>
      <c r="B9">
        <v>1.3</v>
      </c>
      <c r="C9">
        <v>3240</v>
      </c>
      <c r="D9">
        <v>22658</v>
      </c>
    </row>
    <row r="10" spans="1:4" x14ac:dyDescent="0.2">
      <c r="A10" t="s">
        <v>92</v>
      </c>
      <c r="B10">
        <v>1.3</v>
      </c>
      <c r="C10">
        <v>4221</v>
      </c>
      <c r="D10">
        <v>24746</v>
      </c>
    </row>
    <row r="11" spans="1:4" x14ac:dyDescent="0.2">
      <c r="A11" t="s">
        <v>93</v>
      </c>
      <c r="B11">
        <v>1.3</v>
      </c>
      <c r="C11">
        <v>3745</v>
      </c>
      <c r="D11">
        <v>28553</v>
      </c>
    </row>
    <row r="12" spans="1:4" x14ac:dyDescent="0.2">
      <c r="A12" t="s">
        <v>94</v>
      </c>
      <c r="B12">
        <v>1.6</v>
      </c>
      <c r="C12">
        <v>4086</v>
      </c>
      <c r="D12">
        <v>27562</v>
      </c>
    </row>
    <row r="13" spans="1:4" x14ac:dyDescent="0.2">
      <c r="A13" t="s">
        <v>95</v>
      </c>
      <c r="B13">
        <v>1.9</v>
      </c>
      <c r="C13">
        <v>4874</v>
      </c>
      <c r="D13">
        <v>35512</v>
      </c>
    </row>
    <row r="14" spans="1:4" x14ac:dyDescent="0.2">
      <c r="A14" t="s">
        <v>96</v>
      </c>
      <c r="B14">
        <v>2.1</v>
      </c>
      <c r="C14">
        <v>4806</v>
      </c>
      <c r="D14">
        <v>35874</v>
      </c>
    </row>
    <row r="15" spans="1:4" x14ac:dyDescent="0.2">
      <c r="A15" t="s">
        <v>97</v>
      </c>
      <c r="B15">
        <v>2.4</v>
      </c>
      <c r="C15">
        <v>5700</v>
      </c>
      <c r="D15">
        <v>33975</v>
      </c>
    </row>
    <row r="16" spans="1:4" x14ac:dyDescent="0.2">
      <c r="A16" t="s">
        <v>98</v>
      </c>
      <c r="B16">
        <v>2.7</v>
      </c>
      <c r="C16">
        <v>7120</v>
      </c>
      <c r="D16">
        <v>45213</v>
      </c>
    </row>
    <row r="17" spans="1:7" x14ac:dyDescent="0.2">
      <c r="A17" t="s">
        <v>99</v>
      </c>
      <c r="B17" s="22" t="s">
        <v>113</v>
      </c>
      <c r="C17">
        <v>9194</v>
      </c>
      <c r="D17">
        <v>53759</v>
      </c>
    </row>
    <row r="18" spans="1:7" x14ac:dyDescent="0.2">
      <c r="A18" t="s">
        <v>100</v>
      </c>
      <c r="B18" s="22" t="s">
        <v>113</v>
      </c>
      <c r="C18">
        <v>8888</v>
      </c>
      <c r="D18">
        <v>50887</v>
      </c>
    </row>
    <row r="19" spans="1:7" x14ac:dyDescent="0.2">
      <c r="A19" t="s">
        <v>101</v>
      </c>
      <c r="B19" s="22" t="s">
        <v>113</v>
      </c>
      <c r="C19">
        <v>7681</v>
      </c>
      <c r="D19">
        <v>36727</v>
      </c>
    </row>
    <row r="20" spans="1:7" x14ac:dyDescent="0.2">
      <c r="A20" t="s">
        <v>102</v>
      </c>
      <c r="B20" s="22" t="s">
        <v>113</v>
      </c>
      <c r="C20">
        <v>9675</v>
      </c>
      <c r="D20">
        <v>57517</v>
      </c>
    </row>
    <row r="22" spans="1:7" s="5" customFormat="1" x14ac:dyDescent="0.2">
      <c r="A22" s="5" t="s">
        <v>79</v>
      </c>
      <c r="B22" s="5" t="s">
        <v>114</v>
      </c>
      <c r="D22" s="5" t="s">
        <v>115</v>
      </c>
      <c r="F22" s="5" t="s">
        <v>116</v>
      </c>
    </row>
    <row r="23" spans="1:7" s="5" customFormat="1" x14ac:dyDescent="0.2">
      <c r="B23" s="5" t="s">
        <v>57</v>
      </c>
      <c r="C23" s="5" t="s">
        <v>58</v>
      </c>
      <c r="D23" s="5" t="s">
        <v>57</v>
      </c>
      <c r="E23" s="5" t="s">
        <v>58</v>
      </c>
      <c r="F23" s="5" t="s">
        <v>57</v>
      </c>
      <c r="G23" s="5" t="s">
        <v>58</v>
      </c>
    </row>
    <row r="24" spans="1:7" x14ac:dyDescent="0.2">
      <c r="A24" t="s">
        <v>86</v>
      </c>
      <c r="B24">
        <v>711</v>
      </c>
      <c r="C24">
        <v>6993</v>
      </c>
      <c r="D24">
        <v>605</v>
      </c>
      <c r="E24">
        <v>5114</v>
      </c>
      <c r="F24">
        <v>660</v>
      </c>
      <c r="G24">
        <v>4745</v>
      </c>
    </row>
    <row r="25" spans="1:7" x14ac:dyDescent="0.2">
      <c r="A25" t="s">
        <v>87</v>
      </c>
      <c r="B25">
        <v>620</v>
      </c>
      <c r="C25">
        <v>6622</v>
      </c>
      <c r="D25">
        <v>655</v>
      </c>
      <c r="E25">
        <v>5394</v>
      </c>
      <c r="F25">
        <v>667</v>
      </c>
      <c r="G25">
        <v>5181</v>
      </c>
    </row>
    <row r="26" spans="1:7" x14ac:dyDescent="0.2">
      <c r="A26" t="s">
        <v>88</v>
      </c>
      <c r="B26">
        <v>780</v>
      </c>
      <c r="C26">
        <v>7073</v>
      </c>
      <c r="D26">
        <v>574</v>
      </c>
      <c r="E26">
        <v>3742</v>
      </c>
      <c r="F26">
        <v>781</v>
      </c>
      <c r="G26">
        <v>5111</v>
      </c>
    </row>
    <row r="27" spans="1:7" x14ac:dyDescent="0.2">
      <c r="A27" t="s">
        <v>89</v>
      </c>
      <c r="B27">
        <v>1004</v>
      </c>
      <c r="C27">
        <v>6907</v>
      </c>
      <c r="D27">
        <v>645</v>
      </c>
      <c r="E27">
        <v>3239</v>
      </c>
      <c r="F27">
        <v>870</v>
      </c>
      <c r="G27">
        <v>4876</v>
      </c>
    </row>
    <row r="28" spans="1:7" x14ac:dyDescent="0.2">
      <c r="A28" t="s">
        <v>90</v>
      </c>
      <c r="B28">
        <v>1278</v>
      </c>
      <c r="C28">
        <v>9951</v>
      </c>
      <c r="D28">
        <v>746</v>
      </c>
      <c r="E28">
        <v>5444</v>
      </c>
      <c r="F28">
        <v>1030</v>
      </c>
      <c r="G28">
        <v>7361</v>
      </c>
    </row>
    <row r="29" spans="1:7" x14ac:dyDescent="0.2">
      <c r="A29" t="s">
        <v>91</v>
      </c>
      <c r="B29">
        <v>1478</v>
      </c>
      <c r="C29">
        <v>10788</v>
      </c>
      <c r="D29">
        <v>700</v>
      </c>
      <c r="E29">
        <v>4862</v>
      </c>
      <c r="F29">
        <v>1062</v>
      </c>
      <c r="G29">
        <v>7008</v>
      </c>
    </row>
    <row r="30" spans="1:7" x14ac:dyDescent="0.2">
      <c r="A30" t="s">
        <v>92</v>
      </c>
      <c r="B30">
        <v>1939</v>
      </c>
      <c r="C30">
        <v>11490</v>
      </c>
      <c r="D30">
        <v>811</v>
      </c>
      <c r="E30">
        <v>4853</v>
      </c>
      <c r="F30">
        <v>1471</v>
      </c>
      <c r="G30">
        <v>8404</v>
      </c>
    </row>
    <row r="31" spans="1:7" x14ac:dyDescent="0.2">
      <c r="A31" t="s">
        <v>93</v>
      </c>
      <c r="B31">
        <v>1861</v>
      </c>
      <c r="C31">
        <v>14646</v>
      </c>
      <c r="D31">
        <v>694</v>
      </c>
      <c r="E31">
        <v>4666</v>
      </c>
      <c r="F31">
        <v>1190</v>
      </c>
      <c r="G31">
        <v>9242</v>
      </c>
    </row>
    <row r="32" spans="1:7" x14ac:dyDescent="0.2">
      <c r="A32" t="s">
        <v>94</v>
      </c>
      <c r="B32">
        <v>2094</v>
      </c>
      <c r="C32">
        <v>14784</v>
      </c>
      <c r="D32">
        <v>716</v>
      </c>
      <c r="E32">
        <v>4386</v>
      </c>
      <c r="F32">
        <v>1276</v>
      </c>
      <c r="G32">
        <v>8392</v>
      </c>
    </row>
    <row r="33" spans="1:7" x14ac:dyDescent="0.2">
      <c r="A33" t="s">
        <v>95</v>
      </c>
      <c r="B33">
        <v>2791</v>
      </c>
      <c r="C33">
        <v>21823</v>
      </c>
      <c r="D33">
        <v>758</v>
      </c>
      <c r="E33">
        <v>4588</v>
      </c>
      <c r="F33">
        <v>1324</v>
      </c>
      <c r="G33">
        <v>9101</v>
      </c>
    </row>
    <row r="34" spans="1:7" x14ac:dyDescent="0.2">
      <c r="A34" t="s">
        <v>96</v>
      </c>
      <c r="B34">
        <v>2819</v>
      </c>
      <c r="C34">
        <v>21928</v>
      </c>
      <c r="D34">
        <v>685</v>
      </c>
      <c r="E34">
        <v>5066</v>
      </c>
      <c r="F34">
        <v>1301</v>
      </c>
      <c r="G34">
        <v>8879</v>
      </c>
    </row>
    <row r="35" spans="1:7" x14ac:dyDescent="0.2">
      <c r="A35" t="s">
        <v>97</v>
      </c>
      <c r="B35">
        <v>3203</v>
      </c>
      <c r="C35">
        <v>19378</v>
      </c>
      <c r="D35">
        <v>842</v>
      </c>
      <c r="E35">
        <v>5200</v>
      </c>
      <c r="F35">
        <v>1655</v>
      </c>
      <c r="G35">
        <v>9397</v>
      </c>
    </row>
    <row r="36" spans="1:7" x14ac:dyDescent="0.2">
      <c r="A36" t="s">
        <v>98</v>
      </c>
      <c r="B36">
        <v>3524</v>
      </c>
      <c r="C36">
        <v>23710</v>
      </c>
      <c r="D36">
        <v>925</v>
      </c>
      <c r="E36">
        <v>5729</v>
      </c>
      <c r="F36">
        <v>2672</v>
      </c>
      <c r="G36">
        <v>15773</v>
      </c>
    </row>
    <row r="37" spans="1:7" x14ac:dyDescent="0.2">
      <c r="A37" t="s">
        <v>99</v>
      </c>
      <c r="B37">
        <v>3842</v>
      </c>
      <c r="C37">
        <v>23450</v>
      </c>
      <c r="D37">
        <v>1042</v>
      </c>
      <c r="E37">
        <v>6484</v>
      </c>
      <c r="F37">
        <v>4265</v>
      </c>
      <c r="G37">
        <v>23764</v>
      </c>
    </row>
    <row r="38" spans="1:7" x14ac:dyDescent="0.2">
      <c r="A38" t="s">
        <v>100</v>
      </c>
      <c r="B38">
        <v>3846</v>
      </c>
      <c r="C38">
        <v>21570</v>
      </c>
      <c r="D38">
        <v>784</v>
      </c>
      <c r="E38">
        <v>5420</v>
      </c>
      <c r="F38">
        <v>4258</v>
      </c>
      <c r="G38">
        <v>23897</v>
      </c>
    </row>
    <row r="39" spans="1:7" x14ac:dyDescent="0.2">
      <c r="A39" t="s">
        <v>117</v>
      </c>
      <c r="D39">
        <v>377</v>
      </c>
      <c r="E39">
        <v>2093</v>
      </c>
      <c r="F39">
        <v>2777</v>
      </c>
      <c r="G39">
        <v>12782</v>
      </c>
    </row>
    <row r="41" spans="1:7" s="5" customFormat="1" x14ac:dyDescent="0.2">
      <c r="B41" s="5" t="s">
        <v>114</v>
      </c>
      <c r="D41" s="5" t="s">
        <v>118</v>
      </c>
    </row>
    <row r="42" spans="1:7" s="5" customFormat="1" x14ac:dyDescent="0.2">
      <c r="B42" s="5" t="s">
        <v>57</v>
      </c>
      <c r="C42" s="5" t="s">
        <v>58</v>
      </c>
      <c r="D42" s="5" t="s">
        <v>57</v>
      </c>
      <c r="E42" s="5" t="s">
        <v>58</v>
      </c>
    </row>
    <row r="43" spans="1:7" x14ac:dyDescent="0.2">
      <c r="A43" t="s">
        <v>101</v>
      </c>
      <c r="B43">
        <v>4384</v>
      </c>
      <c r="C43">
        <v>19103</v>
      </c>
      <c r="D43">
        <v>3296</v>
      </c>
      <c r="E43">
        <v>17624</v>
      </c>
    </row>
    <row r="44" spans="1:7" x14ac:dyDescent="0.2">
      <c r="A44" t="s">
        <v>102</v>
      </c>
      <c r="B44">
        <v>6214</v>
      </c>
      <c r="C44">
        <v>36644</v>
      </c>
      <c r="D44">
        <v>3461</v>
      </c>
      <c r="E44">
        <v>20873</v>
      </c>
    </row>
    <row r="46" spans="1:7" x14ac:dyDescent="0.2">
      <c r="B46" t="s">
        <v>119</v>
      </c>
    </row>
    <row r="47" spans="1:7" x14ac:dyDescent="0.2">
      <c r="B47" t="s">
        <v>120</v>
      </c>
    </row>
    <row r="48" spans="1:7" x14ac:dyDescent="0.2">
      <c r="B48" t="s">
        <v>121</v>
      </c>
    </row>
    <row r="49" spans="2:2" x14ac:dyDescent="0.2">
      <c r="B49" t="s">
        <v>122</v>
      </c>
    </row>
  </sheetData>
  <phoneticPr fontId="5"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heetViews>
  <sheetFormatPr defaultRowHeight="12.75" x14ac:dyDescent="0.2"/>
  <sheetData>
    <row r="1" spans="1:5" x14ac:dyDescent="0.2">
      <c r="A1" t="s">
        <v>123</v>
      </c>
    </row>
    <row r="2" spans="1:5" s="5" customFormat="1" x14ac:dyDescent="0.2">
      <c r="A2" s="5" t="s">
        <v>79</v>
      </c>
      <c r="B2" s="5" t="s">
        <v>33</v>
      </c>
      <c r="C2" s="5" t="s">
        <v>124</v>
      </c>
      <c r="D2" s="5" t="s">
        <v>125</v>
      </c>
      <c r="E2" s="5" t="s">
        <v>126</v>
      </c>
    </row>
    <row r="3" spans="1:5" s="5" customFormat="1" x14ac:dyDescent="0.2">
      <c r="B3" s="5" t="s">
        <v>127</v>
      </c>
      <c r="C3" s="5" t="s">
        <v>128</v>
      </c>
      <c r="D3" s="5" t="s">
        <v>129</v>
      </c>
      <c r="E3" s="5" t="s">
        <v>130</v>
      </c>
    </row>
    <row r="4" spans="1:5" x14ac:dyDescent="0.2">
      <c r="A4" t="s">
        <v>85</v>
      </c>
      <c r="B4">
        <v>10.64</v>
      </c>
      <c r="C4">
        <v>11.81</v>
      </c>
      <c r="D4" s="22" t="s">
        <v>131</v>
      </c>
      <c r="E4">
        <v>10.27</v>
      </c>
    </row>
    <row r="5" spans="1:5" x14ac:dyDescent="0.2">
      <c r="A5" t="s">
        <v>86</v>
      </c>
      <c r="B5">
        <v>12.53</v>
      </c>
      <c r="C5">
        <v>13.84</v>
      </c>
      <c r="D5">
        <v>12.45</v>
      </c>
      <c r="E5">
        <v>11.19</v>
      </c>
    </row>
    <row r="6" spans="1:5" x14ac:dyDescent="0.2">
      <c r="A6" t="s">
        <v>87</v>
      </c>
      <c r="B6">
        <v>12.86</v>
      </c>
      <c r="C6">
        <v>14.68</v>
      </c>
      <c r="D6">
        <v>12.24</v>
      </c>
      <c r="E6">
        <v>11.77</v>
      </c>
    </row>
    <row r="7" spans="1:5" x14ac:dyDescent="0.2">
      <c r="A7" t="s">
        <v>88</v>
      </c>
      <c r="B7">
        <v>11.46</v>
      </c>
      <c r="C7">
        <v>13.07</v>
      </c>
      <c r="D7">
        <v>10.52</v>
      </c>
      <c r="E7">
        <v>10.54</v>
      </c>
    </row>
    <row r="8" spans="1:5" x14ac:dyDescent="0.2">
      <c r="A8" t="s">
        <v>89</v>
      </c>
      <c r="B8">
        <v>9.9600000000000009</v>
      </c>
      <c r="C8">
        <v>10.88</v>
      </c>
      <c r="D8">
        <v>9.02</v>
      </c>
      <c r="E8">
        <v>9.6</v>
      </c>
    </row>
    <row r="9" spans="1:5" x14ac:dyDescent="0.2">
      <c r="A9" t="s">
        <v>90</v>
      </c>
      <c r="B9">
        <v>11.45</v>
      </c>
      <c r="C9">
        <v>11.79</v>
      </c>
      <c r="D9" s="22" t="s">
        <v>132</v>
      </c>
      <c r="E9">
        <v>11.15</v>
      </c>
    </row>
    <row r="10" spans="1:5" x14ac:dyDescent="0.2">
      <c r="A10" t="s">
        <v>91</v>
      </c>
      <c r="B10">
        <v>10.99</v>
      </c>
      <c r="C10">
        <v>11.3</v>
      </c>
      <c r="D10">
        <v>10.95</v>
      </c>
      <c r="E10">
        <v>10.6</v>
      </c>
    </row>
    <row r="11" spans="1:5" x14ac:dyDescent="0.2">
      <c r="A11" t="s">
        <v>92</v>
      </c>
      <c r="B11">
        <v>9.86</v>
      </c>
      <c r="C11">
        <v>9.93</v>
      </c>
      <c r="D11">
        <v>9.98</v>
      </c>
      <c r="E11">
        <v>9.7100000000000009</v>
      </c>
    </row>
    <row r="12" spans="1:5" x14ac:dyDescent="0.2">
      <c r="A12" t="s">
        <v>93</v>
      </c>
      <c r="B12">
        <v>11.62</v>
      </c>
      <c r="C12">
        <v>11.87</v>
      </c>
      <c r="D12">
        <v>10.72</v>
      </c>
      <c r="E12">
        <v>11.77</v>
      </c>
    </row>
    <row r="13" spans="1:5" x14ac:dyDescent="0.2">
      <c r="A13" t="s">
        <v>94</v>
      </c>
      <c r="B13">
        <v>10.75</v>
      </c>
      <c r="C13">
        <v>11.06</v>
      </c>
      <c r="D13">
        <v>10.130000000000001</v>
      </c>
      <c r="E13">
        <v>10.58</v>
      </c>
    </row>
    <row r="14" spans="1:5" x14ac:dyDescent="0.2">
      <c r="A14" t="s">
        <v>95</v>
      </c>
      <c r="B14">
        <v>11.29</v>
      </c>
      <c r="C14">
        <v>11.82</v>
      </c>
      <c r="D14">
        <v>10.050000000000001</v>
      </c>
      <c r="E14">
        <v>10.87</v>
      </c>
    </row>
    <row r="15" spans="1:5" x14ac:dyDescent="0.2">
      <c r="A15" t="s">
        <v>96</v>
      </c>
      <c r="B15">
        <v>11.46</v>
      </c>
      <c r="C15">
        <v>11.78</v>
      </c>
      <c r="D15">
        <v>11.4</v>
      </c>
      <c r="E15">
        <v>10.82</v>
      </c>
    </row>
    <row r="16" spans="1:5" x14ac:dyDescent="0.2">
      <c r="A16" t="s">
        <v>97</v>
      </c>
      <c r="B16">
        <v>9.9600000000000009</v>
      </c>
      <c r="C16">
        <v>10.050000000000001</v>
      </c>
      <c r="D16">
        <v>10.18</v>
      </c>
      <c r="E16">
        <v>9.68</v>
      </c>
    </row>
    <row r="17" spans="1:5" x14ac:dyDescent="0.2">
      <c r="A17" t="s">
        <v>98</v>
      </c>
      <c r="B17">
        <v>10.35</v>
      </c>
      <c r="C17">
        <v>10.73</v>
      </c>
      <c r="D17">
        <v>10.19</v>
      </c>
      <c r="E17" s="22" t="s">
        <v>133</v>
      </c>
    </row>
    <row r="18" spans="1:5" x14ac:dyDescent="0.2">
      <c r="A18" t="s">
        <v>99</v>
      </c>
      <c r="B18">
        <v>9.8800000000000008</v>
      </c>
      <c r="C18">
        <v>10.1</v>
      </c>
      <c r="D18">
        <v>10.220000000000001</v>
      </c>
      <c r="E18">
        <v>9.57</v>
      </c>
    </row>
    <row r="19" spans="1:5" x14ac:dyDescent="0.2">
      <c r="A19" t="s">
        <v>100</v>
      </c>
      <c r="B19">
        <v>9.73</v>
      </c>
      <c r="C19">
        <v>9.61</v>
      </c>
      <c r="D19">
        <v>10.91</v>
      </c>
      <c r="E19">
        <v>9.61</v>
      </c>
    </row>
    <row r="20" spans="1:5" x14ac:dyDescent="0.2">
      <c r="A20" t="s">
        <v>117</v>
      </c>
      <c r="D20">
        <v>9.5500000000000007</v>
      </c>
      <c r="E20" s="22" t="s">
        <v>134</v>
      </c>
    </row>
    <row r="22" spans="1:5" s="5" customFormat="1" x14ac:dyDescent="0.2">
      <c r="D22" s="5" t="s">
        <v>118</v>
      </c>
    </row>
    <row r="23" spans="1:5" x14ac:dyDescent="0.2">
      <c r="A23" t="s">
        <v>101</v>
      </c>
      <c r="B23">
        <v>8.7799999999999994</v>
      </c>
      <c r="C23">
        <v>8.36</v>
      </c>
      <c r="E23">
        <v>9.35</v>
      </c>
    </row>
    <row r="24" spans="1:5" x14ac:dyDescent="0.2">
      <c r="A24" t="s">
        <v>102</v>
      </c>
      <c r="B24">
        <v>9.94</v>
      </c>
      <c r="C24">
        <v>9.9</v>
      </c>
      <c r="E24">
        <v>10.029999999999999</v>
      </c>
    </row>
    <row r="26" spans="1:5" x14ac:dyDescent="0.2">
      <c r="B26" t="s">
        <v>135</v>
      </c>
    </row>
    <row r="27" spans="1:5" x14ac:dyDescent="0.2">
      <c r="B27" t="s">
        <v>136</v>
      </c>
    </row>
  </sheetData>
  <phoneticPr fontId="5" type="noConversion"/>
  <pageMargins left="0.75" right="0.75" top="1" bottom="1" header="0.5" footer="0.5"/>
  <pageSetup paperSize="9" orientation="portrait" horizontalDpi="1200" verticalDpi="1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topLeftCell="A31" workbookViewId="0">
      <selection activeCell="B49" sqref="B49"/>
    </sheetView>
  </sheetViews>
  <sheetFormatPr defaultRowHeight="12.75" x14ac:dyDescent="0.2"/>
  <sheetData>
    <row r="1" spans="1:4" x14ac:dyDescent="0.2">
      <c r="A1" t="s">
        <v>137</v>
      </c>
    </row>
    <row r="2" spans="1:4" s="5" customFormat="1" x14ac:dyDescent="0.2">
      <c r="A2" s="27" t="s">
        <v>0</v>
      </c>
      <c r="B2" s="27" t="s">
        <v>138</v>
      </c>
      <c r="C2" s="27" t="s">
        <v>368</v>
      </c>
      <c r="D2" s="27"/>
    </row>
    <row r="3" spans="1:4" s="5" customFormat="1" x14ac:dyDescent="0.2">
      <c r="A3" s="27"/>
      <c r="B3" s="27" t="s">
        <v>139</v>
      </c>
      <c r="C3" s="27" t="s">
        <v>369</v>
      </c>
      <c r="D3" s="27"/>
    </row>
    <row r="4" spans="1:4" x14ac:dyDescent="0.2">
      <c r="A4">
        <v>1724</v>
      </c>
      <c r="B4">
        <v>4852</v>
      </c>
    </row>
    <row r="6" spans="1:4" x14ac:dyDescent="0.2">
      <c r="A6">
        <v>1726</v>
      </c>
      <c r="B6">
        <v>3399</v>
      </c>
    </row>
    <row r="7" spans="1:4" x14ac:dyDescent="0.2">
      <c r="A7">
        <v>1727</v>
      </c>
      <c r="B7">
        <v>3204</v>
      </c>
    </row>
    <row r="9" spans="1:4" x14ac:dyDescent="0.2">
      <c r="A9">
        <v>1729</v>
      </c>
      <c r="B9">
        <v>3037</v>
      </c>
    </row>
    <row r="11" spans="1:4" x14ac:dyDescent="0.2">
      <c r="A11">
        <v>1735</v>
      </c>
      <c r="B11">
        <v>3817</v>
      </c>
    </row>
    <row r="13" spans="1:4" x14ac:dyDescent="0.2">
      <c r="A13">
        <v>1738</v>
      </c>
      <c r="B13">
        <v>4708</v>
      </c>
    </row>
    <row r="14" spans="1:4" x14ac:dyDescent="0.2">
      <c r="A14">
        <v>1739</v>
      </c>
      <c r="B14">
        <v>2890</v>
      </c>
    </row>
    <row r="16" spans="1:4" x14ac:dyDescent="0.2">
      <c r="A16">
        <v>1741</v>
      </c>
      <c r="B16">
        <v>2712</v>
      </c>
    </row>
    <row r="17" spans="1:3" x14ac:dyDescent="0.2">
      <c r="A17">
        <v>1742</v>
      </c>
      <c r="B17">
        <v>3085</v>
      </c>
    </row>
    <row r="18" spans="1:3" x14ac:dyDescent="0.2">
      <c r="A18">
        <v>1743</v>
      </c>
      <c r="B18">
        <v>3613</v>
      </c>
    </row>
    <row r="20" spans="1:3" x14ac:dyDescent="0.2">
      <c r="A20">
        <v>1751</v>
      </c>
      <c r="B20">
        <v>22575</v>
      </c>
      <c r="C20" s="25">
        <f t="shared" ref="C20:C24" si="0">+B20*0.138891</f>
        <v>3135.4643249999999</v>
      </c>
    </row>
    <row r="21" spans="1:3" x14ac:dyDescent="0.2">
      <c r="A21">
        <v>1752</v>
      </c>
      <c r="B21">
        <v>18117</v>
      </c>
      <c r="C21" s="25">
        <f t="shared" si="0"/>
        <v>2516.288247</v>
      </c>
    </row>
    <row r="22" spans="1:3" x14ac:dyDescent="0.2">
      <c r="A22">
        <v>1753</v>
      </c>
      <c r="B22">
        <v>19641</v>
      </c>
      <c r="C22" s="25">
        <f t="shared" si="0"/>
        <v>2727.9581309999999</v>
      </c>
    </row>
    <row r="23" spans="1:3" x14ac:dyDescent="0.2">
      <c r="A23">
        <v>1754</v>
      </c>
      <c r="B23">
        <v>12731</v>
      </c>
      <c r="C23" s="25">
        <f t="shared" si="0"/>
        <v>1768.2213209999998</v>
      </c>
    </row>
    <row r="24" spans="1:3" x14ac:dyDescent="0.2">
      <c r="A24">
        <v>1755</v>
      </c>
      <c r="B24">
        <v>16803</v>
      </c>
      <c r="C24" s="25">
        <f t="shared" si="0"/>
        <v>2333.7854729999999</v>
      </c>
    </row>
    <row r="26" spans="1:3" x14ac:dyDescent="0.2">
      <c r="A26">
        <v>1757</v>
      </c>
      <c r="B26">
        <v>17536</v>
      </c>
      <c r="C26" s="25">
        <f>+B26*0.138891</f>
        <v>2435.5925759999996</v>
      </c>
    </row>
    <row r="27" spans="1:3" x14ac:dyDescent="0.2">
      <c r="C27" s="25"/>
    </row>
    <row r="28" spans="1:3" x14ac:dyDescent="0.2">
      <c r="A28">
        <v>1759</v>
      </c>
      <c r="B28">
        <v>24899</v>
      </c>
      <c r="C28" s="25">
        <v>3458.25</v>
      </c>
    </row>
    <row r="29" spans="1:3" x14ac:dyDescent="0.2">
      <c r="A29">
        <v>1760</v>
      </c>
      <c r="B29">
        <v>16006</v>
      </c>
      <c r="C29" s="25">
        <v>1907</v>
      </c>
    </row>
    <row r="30" spans="1:3" x14ac:dyDescent="0.2">
      <c r="A30">
        <v>1761</v>
      </c>
      <c r="B30">
        <v>19650</v>
      </c>
      <c r="C30" s="25"/>
    </row>
    <row r="31" spans="1:3" x14ac:dyDescent="0.2">
      <c r="A31">
        <v>1762</v>
      </c>
      <c r="B31">
        <v>18562</v>
      </c>
      <c r="C31" s="25">
        <v>2597</v>
      </c>
    </row>
    <row r="32" spans="1:3" x14ac:dyDescent="0.2">
      <c r="A32">
        <v>1763</v>
      </c>
      <c r="B32">
        <v>16906</v>
      </c>
      <c r="C32" s="25">
        <v>2348.125</v>
      </c>
    </row>
    <row r="33" spans="1:3" x14ac:dyDescent="0.2">
      <c r="A33">
        <v>1764</v>
      </c>
      <c r="B33">
        <v>19512</v>
      </c>
      <c r="C33" s="25"/>
    </row>
    <row r="34" spans="1:3" x14ac:dyDescent="0.2">
      <c r="C34" s="25"/>
    </row>
    <row r="35" spans="1:3" x14ac:dyDescent="0.2">
      <c r="A35">
        <v>1766</v>
      </c>
      <c r="B35">
        <v>16345</v>
      </c>
      <c r="C35" s="25">
        <v>2269</v>
      </c>
    </row>
    <row r="36" spans="1:3" x14ac:dyDescent="0.2">
      <c r="A36">
        <v>1767</v>
      </c>
      <c r="B36">
        <v>18155</v>
      </c>
      <c r="C36" s="25">
        <v>2521.5</v>
      </c>
    </row>
    <row r="37" spans="1:3" x14ac:dyDescent="0.2">
      <c r="C37" s="25"/>
    </row>
    <row r="38" spans="1:3" x14ac:dyDescent="0.2">
      <c r="A38">
        <v>1769</v>
      </c>
      <c r="B38">
        <v>21385</v>
      </c>
      <c r="C38" s="25">
        <v>2970.125</v>
      </c>
    </row>
    <row r="39" spans="1:3" x14ac:dyDescent="0.2">
      <c r="C39" s="25"/>
    </row>
    <row r="40" spans="1:3" x14ac:dyDescent="0.2">
      <c r="A40">
        <v>1772</v>
      </c>
      <c r="B40">
        <v>21600</v>
      </c>
      <c r="C40" s="25">
        <v>3272.75</v>
      </c>
    </row>
    <row r="42" spans="1:3" x14ac:dyDescent="0.2">
      <c r="A42">
        <v>1775</v>
      </c>
      <c r="B42">
        <v>19840</v>
      </c>
      <c r="C42">
        <v>3006</v>
      </c>
    </row>
    <row r="43" spans="1:3" x14ac:dyDescent="0.2">
      <c r="A43">
        <v>1776</v>
      </c>
      <c r="B43">
        <v>26756</v>
      </c>
      <c r="C43" s="25">
        <v>4053.625</v>
      </c>
    </row>
    <row r="45" spans="1:3" x14ac:dyDescent="0.2">
      <c r="A45">
        <v>1778</v>
      </c>
      <c r="B45">
        <v>16120</v>
      </c>
      <c r="C45" s="25">
        <v>2452.5</v>
      </c>
    </row>
    <row r="46" spans="1:3" x14ac:dyDescent="0.2">
      <c r="C46" s="25"/>
    </row>
    <row r="47" spans="1:3" x14ac:dyDescent="0.2">
      <c r="A47">
        <v>1780</v>
      </c>
      <c r="B47">
        <v>34577</v>
      </c>
      <c r="C47" s="25">
        <v>5239</v>
      </c>
    </row>
    <row r="48" spans="1:3" x14ac:dyDescent="0.2">
      <c r="A48">
        <v>1781</v>
      </c>
      <c r="B48">
        <v>35742</v>
      </c>
      <c r="C48" s="25">
        <v>5415.5</v>
      </c>
    </row>
    <row r="49" spans="1:7" x14ac:dyDescent="0.2">
      <c r="A49">
        <v>1782</v>
      </c>
      <c r="B49">
        <v>33359</v>
      </c>
      <c r="C49" s="25">
        <v>4754.375</v>
      </c>
    </row>
    <row r="50" spans="1:7" x14ac:dyDescent="0.2">
      <c r="A50">
        <v>1783</v>
      </c>
      <c r="B50">
        <v>21839</v>
      </c>
      <c r="C50" s="74">
        <v>3309.25</v>
      </c>
    </row>
    <row r="51" spans="1:7" x14ac:dyDescent="0.2">
      <c r="C51" s="25"/>
    </row>
    <row r="52" spans="1:7" x14ac:dyDescent="0.2">
      <c r="A52">
        <v>1785</v>
      </c>
      <c r="B52">
        <v>33220</v>
      </c>
      <c r="C52" s="25">
        <v>5033.375</v>
      </c>
    </row>
    <row r="54" spans="1:7" x14ac:dyDescent="0.2">
      <c r="B54" t="s">
        <v>140</v>
      </c>
    </row>
    <row r="55" spans="1:7" x14ac:dyDescent="0.2">
      <c r="B55" s="7" t="s">
        <v>141</v>
      </c>
      <c r="C55" s="7"/>
      <c r="D55" s="7"/>
      <c r="E55" s="7"/>
      <c r="F55" s="7"/>
      <c r="G55" s="7"/>
    </row>
    <row r="56" spans="1:7" x14ac:dyDescent="0.2">
      <c r="B56" s="7" t="s">
        <v>142</v>
      </c>
      <c r="C56" s="7"/>
      <c r="D56" s="7"/>
      <c r="E56" s="7"/>
      <c r="F56" s="7"/>
      <c r="G56" s="7"/>
    </row>
  </sheetData>
  <phoneticPr fontId="5"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8"/>
  <sheetViews>
    <sheetView topLeftCell="A91" workbookViewId="0">
      <selection activeCell="A92" sqref="A92"/>
    </sheetView>
  </sheetViews>
  <sheetFormatPr defaultRowHeight="12.75" x14ac:dyDescent="0.2"/>
  <sheetData>
    <row r="1" spans="1:17" x14ac:dyDescent="0.2">
      <c r="A1" t="s">
        <v>143</v>
      </c>
    </row>
    <row r="2" spans="1:17" s="5" customFormat="1" x14ac:dyDescent="0.2">
      <c r="A2" s="27" t="s">
        <v>0</v>
      </c>
      <c r="B2" s="27" t="s">
        <v>33</v>
      </c>
      <c r="C2" s="27" t="s">
        <v>56</v>
      </c>
      <c r="D2" s="27" t="s">
        <v>144</v>
      </c>
      <c r="E2" s="27" t="s">
        <v>145</v>
      </c>
      <c r="F2" s="27" t="s">
        <v>235</v>
      </c>
      <c r="G2" s="27"/>
      <c r="H2" s="27"/>
      <c r="I2" s="27"/>
      <c r="J2" s="27"/>
      <c r="K2" s="27"/>
      <c r="L2" s="27"/>
      <c r="M2" s="27"/>
      <c r="N2" s="27"/>
      <c r="O2" s="27"/>
      <c r="P2" s="27"/>
      <c r="Q2" s="27"/>
    </row>
    <row r="3" spans="1:17" s="5" customFormat="1" x14ac:dyDescent="0.2">
      <c r="A3" s="27"/>
      <c r="B3" s="27" t="s">
        <v>146</v>
      </c>
      <c r="C3" s="27" t="s">
        <v>146</v>
      </c>
      <c r="D3" s="27" t="s">
        <v>146</v>
      </c>
      <c r="E3" s="27" t="s">
        <v>147</v>
      </c>
      <c r="F3" s="27"/>
      <c r="G3" s="27"/>
      <c r="H3" s="27"/>
      <c r="I3" s="27"/>
      <c r="J3" s="27"/>
      <c r="K3" s="27"/>
      <c r="L3" s="27"/>
      <c r="M3" s="27"/>
      <c r="N3" s="27"/>
      <c r="O3" s="27"/>
      <c r="P3" s="27"/>
      <c r="Q3" s="27"/>
    </row>
    <row r="4" spans="1:17" x14ac:dyDescent="0.2">
      <c r="A4">
        <v>1700</v>
      </c>
      <c r="B4">
        <v>49220</v>
      </c>
      <c r="C4">
        <v>38300</v>
      </c>
    </row>
    <row r="5" spans="1:17" x14ac:dyDescent="0.2">
      <c r="A5">
        <v>1701</v>
      </c>
      <c r="B5">
        <v>29850</v>
      </c>
      <c r="C5">
        <v>22650</v>
      </c>
      <c r="F5" s="25">
        <f>+'Agricultural production'!C4</f>
        <v>1135</v>
      </c>
    </row>
    <row r="6" spans="1:17" x14ac:dyDescent="0.2">
      <c r="A6">
        <v>1702</v>
      </c>
      <c r="B6">
        <v>41980</v>
      </c>
      <c r="C6">
        <v>34000</v>
      </c>
      <c r="F6" s="25">
        <f>+'Agricultural production'!C5</f>
        <v>1025</v>
      </c>
    </row>
    <row r="7" spans="1:17" x14ac:dyDescent="0.2">
      <c r="A7">
        <v>1703</v>
      </c>
      <c r="B7">
        <v>49760</v>
      </c>
      <c r="C7">
        <v>39400</v>
      </c>
      <c r="F7" s="25">
        <f>+'Agricultural production'!C6</f>
        <v>970.5</v>
      </c>
    </row>
    <row r="8" spans="1:17" x14ac:dyDescent="0.2">
      <c r="A8">
        <v>1704</v>
      </c>
      <c r="B8">
        <v>44310</v>
      </c>
      <c r="C8">
        <v>32650</v>
      </c>
      <c r="F8" s="25">
        <f>+'Agricultural production'!C7</f>
        <v>1032.5</v>
      </c>
    </row>
    <row r="9" spans="1:17" x14ac:dyDescent="0.2">
      <c r="A9">
        <v>1705</v>
      </c>
      <c r="B9">
        <v>47880</v>
      </c>
      <c r="C9">
        <v>39100</v>
      </c>
      <c r="F9" s="25">
        <f>+'Agricultural production'!C8</f>
        <v>1076</v>
      </c>
    </row>
    <row r="10" spans="1:17" x14ac:dyDescent="0.2">
      <c r="A10">
        <v>1706</v>
      </c>
      <c r="B10">
        <v>49430</v>
      </c>
      <c r="C10">
        <v>37200</v>
      </c>
      <c r="F10" s="25">
        <f>+'Agricultural production'!C9</f>
        <v>1132</v>
      </c>
    </row>
    <row r="11" spans="1:17" x14ac:dyDescent="0.2">
      <c r="A11">
        <v>1707</v>
      </c>
      <c r="B11">
        <v>49075</v>
      </c>
      <c r="C11">
        <v>33700</v>
      </c>
      <c r="F11" s="25">
        <f>+'Agricultural production'!C10</f>
        <v>1356</v>
      </c>
    </row>
    <row r="12" spans="1:17" x14ac:dyDescent="0.2">
      <c r="A12">
        <v>1708</v>
      </c>
      <c r="B12">
        <v>51450</v>
      </c>
      <c r="C12">
        <v>34900</v>
      </c>
      <c r="F12" s="25">
        <f>+'Agricultural production'!C11</f>
        <v>1288</v>
      </c>
    </row>
    <row r="13" spans="1:17" x14ac:dyDescent="0.2">
      <c r="A13">
        <v>1709</v>
      </c>
      <c r="B13">
        <v>48525</v>
      </c>
      <c r="C13">
        <v>31075</v>
      </c>
      <c r="F13" s="25">
        <f>+'Agricultural production'!C12</f>
        <v>1411.5</v>
      </c>
    </row>
    <row r="14" spans="1:17" x14ac:dyDescent="0.2">
      <c r="A14">
        <v>1710</v>
      </c>
      <c r="B14">
        <v>48945</v>
      </c>
      <c r="C14">
        <v>35200</v>
      </c>
      <c r="F14" s="25">
        <f>+'Agricultural production'!C13</f>
        <v>1190</v>
      </c>
    </row>
    <row r="15" spans="1:17" x14ac:dyDescent="0.2">
      <c r="A15">
        <v>1711</v>
      </c>
      <c r="B15">
        <v>43730</v>
      </c>
      <c r="C15">
        <v>31160</v>
      </c>
      <c r="F15" s="25">
        <f>+'Agricultural production'!C14</f>
        <v>1094.5</v>
      </c>
    </row>
    <row r="16" spans="1:17" x14ac:dyDescent="0.2">
      <c r="A16">
        <v>1712</v>
      </c>
      <c r="B16">
        <v>62275</v>
      </c>
      <c r="C16">
        <v>42925</v>
      </c>
      <c r="F16" s="25">
        <f>+'Agricultural production'!C15</f>
        <v>1036.5</v>
      </c>
    </row>
    <row r="17" spans="1:6" x14ac:dyDescent="0.2">
      <c r="A17">
        <v>1713</v>
      </c>
      <c r="B17">
        <v>57675</v>
      </c>
      <c r="C17">
        <v>40825</v>
      </c>
      <c r="F17" s="25">
        <f>+'Agricultural production'!C16</f>
        <v>1816.5</v>
      </c>
    </row>
    <row r="18" spans="1:6" x14ac:dyDescent="0.2">
      <c r="A18">
        <v>1714</v>
      </c>
      <c r="B18">
        <v>48720</v>
      </c>
      <c r="C18">
        <v>28620</v>
      </c>
      <c r="F18" s="25">
        <f>+'Agricultural production'!C17</f>
        <v>1617</v>
      </c>
    </row>
    <row r="19" spans="1:6" x14ac:dyDescent="0.2">
      <c r="A19">
        <v>1715</v>
      </c>
      <c r="B19">
        <v>42175</v>
      </c>
      <c r="C19">
        <v>24020</v>
      </c>
      <c r="F19" s="25">
        <f>+'Agricultural production'!C18</f>
        <v>1347.5</v>
      </c>
    </row>
    <row r="20" spans="1:6" x14ac:dyDescent="0.2">
      <c r="A20">
        <v>1716</v>
      </c>
      <c r="B20">
        <v>48820</v>
      </c>
      <c r="C20">
        <v>28450</v>
      </c>
      <c r="D20">
        <v>11560</v>
      </c>
      <c r="F20" s="25">
        <f>+'Agricultural production'!C19</f>
        <v>1148.5</v>
      </c>
    </row>
    <row r="21" spans="1:6" x14ac:dyDescent="0.2">
      <c r="A21">
        <v>1717</v>
      </c>
      <c r="B21">
        <v>41780</v>
      </c>
      <c r="C21">
        <v>25100</v>
      </c>
      <c r="D21">
        <v>8000</v>
      </c>
      <c r="F21" s="25">
        <f>+'Agricultural production'!C20</f>
        <v>1111</v>
      </c>
    </row>
    <row r="22" spans="1:6" x14ac:dyDescent="0.2">
      <c r="A22">
        <v>1718</v>
      </c>
      <c r="B22">
        <v>36800</v>
      </c>
      <c r="C22">
        <v>20500</v>
      </c>
      <c r="D22">
        <v>6200</v>
      </c>
      <c r="F22" s="25">
        <f>+'Agricultural production'!C21</f>
        <v>1386</v>
      </c>
    </row>
    <row r="23" spans="1:6" x14ac:dyDescent="0.2">
      <c r="A23">
        <v>1719</v>
      </c>
      <c r="B23">
        <v>36440</v>
      </c>
      <c r="C23">
        <v>23350</v>
      </c>
      <c r="D23">
        <v>6800</v>
      </c>
      <c r="F23" s="25">
        <f>+'Agricultural production'!C22</f>
        <v>1104.25</v>
      </c>
    </row>
    <row r="24" spans="1:6" x14ac:dyDescent="0.2">
      <c r="A24">
        <v>1720</v>
      </c>
      <c r="B24">
        <v>31970</v>
      </c>
      <c r="C24">
        <v>18600</v>
      </c>
      <c r="D24">
        <v>7000</v>
      </c>
      <c r="F24" s="25">
        <f>+'Agricultural production'!C23</f>
        <v>677.5</v>
      </c>
    </row>
    <row r="25" spans="1:6" x14ac:dyDescent="0.2">
      <c r="A25">
        <v>1721</v>
      </c>
      <c r="B25">
        <v>28330</v>
      </c>
      <c r="C25">
        <v>16800</v>
      </c>
      <c r="D25">
        <v>5850</v>
      </c>
      <c r="F25" s="25">
        <f>+'Agricultural production'!C24</f>
        <v>1177.5</v>
      </c>
    </row>
    <row r="26" spans="1:6" x14ac:dyDescent="0.2">
      <c r="A26">
        <v>1722</v>
      </c>
      <c r="B26">
        <v>45350</v>
      </c>
      <c r="C26">
        <v>28650</v>
      </c>
      <c r="D26">
        <v>10100</v>
      </c>
      <c r="F26" s="25">
        <f>+'Agricultural production'!C25</f>
        <v>1006</v>
      </c>
    </row>
    <row r="27" spans="1:6" x14ac:dyDescent="0.2">
      <c r="A27">
        <v>1723</v>
      </c>
      <c r="B27">
        <v>43375</v>
      </c>
      <c r="C27">
        <v>24100</v>
      </c>
      <c r="D27">
        <v>12225</v>
      </c>
      <c r="F27" s="25">
        <f>+'Agricultural production'!C26</f>
        <v>1625.5</v>
      </c>
    </row>
    <row r="28" spans="1:6" x14ac:dyDescent="0.2">
      <c r="A28">
        <v>1724</v>
      </c>
      <c r="B28">
        <v>43200</v>
      </c>
      <c r="C28">
        <v>25300</v>
      </c>
      <c r="D28">
        <v>10400</v>
      </c>
      <c r="F28" s="25">
        <f>+'Agricultural production'!C27</f>
        <v>1096.75</v>
      </c>
    </row>
    <row r="29" spans="1:6" x14ac:dyDescent="0.2">
      <c r="A29">
        <v>1725</v>
      </c>
      <c r="B29">
        <v>45950</v>
      </c>
      <c r="C29">
        <v>26300</v>
      </c>
      <c r="D29">
        <v>8250</v>
      </c>
      <c r="F29" s="25">
        <f>+'Agricultural production'!C28</f>
        <v>1133</v>
      </c>
    </row>
    <row r="30" spans="1:6" x14ac:dyDescent="0.2">
      <c r="A30">
        <v>1726</v>
      </c>
      <c r="B30">
        <v>60550</v>
      </c>
      <c r="C30">
        <v>37625</v>
      </c>
      <c r="D30">
        <v>14100</v>
      </c>
      <c r="F30" s="25">
        <f>+'Agricultural production'!C29</f>
        <v>1068</v>
      </c>
    </row>
    <row r="31" spans="1:6" x14ac:dyDescent="0.2">
      <c r="A31">
        <v>1727</v>
      </c>
      <c r="B31">
        <v>47425</v>
      </c>
      <c r="C31">
        <v>28850</v>
      </c>
      <c r="D31">
        <v>10475</v>
      </c>
      <c r="F31" s="25">
        <f>+'Agricultural production'!C30</f>
        <v>1025.5</v>
      </c>
    </row>
    <row r="32" spans="1:6" x14ac:dyDescent="0.2">
      <c r="A32">
        <v>1728</v>
      </c>
      <c r="B32">
        <v>42650</v>
      </c>
      <c r="C32">
        <v>24925</v>
      </c>
      <c r="D32">
        <v>10325</v>
      </c>
      <c r="F32" s="25">
        <f>+'Agricultural production'!C31</f>
        <v>1012.5</v>
      </c>
    </row>
    <row r="33" spans="1:6" x14ac:dyDescent="0.2">
      <c r="A33">
        <v>1729</v>
      </c>
      <c r="B33">
        <v>51950</v>
      </c>
      <c r="C33">
        <v>30900</v>
      </c>
      <c r="D33">
        <v>12800</v>
      </c>
      <c r="F33" s="25">
        <f>+'Agricultural production'!C32</f>
        <v>1040.25</v>
      </c>
    </row>
    <row r="34" spans="1:6" x14ac:dyDescent="0.2">
      <c r="A34">
        <v>1730</v>
      </c>
      <c r="B34">
        <v>23600</v>
      </c>
      <c r="C34">
        <v>12600</v>
      </c>
      <c r="D34">
        <v>4050</v>
      </c>
      <c r="F34" s="25">
        <f>+'Agricultural production'!C33</f>
        <v>1336.5</v>
      </c>
    </row>
    <row r="35" spans="1:6" x14ac:dyDescent="0.2">
      <c r="A35">
        <v>1731</v>
      </c>
      <c r="B35">
        <v>34760</v>
      </c>
      <c r="C35">
        <v>21250</v>
      </c>
      <c r="D35">
        <v>5325</v>
      </c>
      <c r="F35" s="25">
        <f>+'Agricultural production'!C34</f>
        <v>1624</v>
      </c>
    </row>
    <row r="36" spans="1:6" x14ac:dyDescent="0.2">
      <c r="A36">
        <v>1732</v>
      </c>
      <c r="B36">
        <v>36660</v>
      </c>
      <c r="C36">
        <v>21760</v>
      </c>
      <c r="D36">
        <v>7000</v>
      </c>
      <c r="F36" s="25">
        <f>+'Agricultural production'!C35</f>
        <v>1458</v>
      </c>
    </row>
    <row r="37" spans="1:6" x14ac:dyDescent="0.2">
      <c r="A37">
        <v>1733</v>
      </c>
      <c r="B37">
        <v>37835</v>
      </c>
      <c r="C37">
        <v>21350</v>
      </c>
      <c r="D37">
        <v>7725</v>
      </c>
      <c r="F37" s="25">
        <f>+'Agricultural production'!C36</f>
        <v>1405</v>
      </c>
    </row>
    <row r="38" spans="1:6" x14ac:dyDescent="0.2">
      <c r="A38">
        <v>1734</v>
      </c>
      <c r="B38">
        <v>48625</v>
      </c>
      <c r="C38" s="7">
        <v>32000</v>
      </c>
      <c r="D38">
        <v>6825</v>
      </c>
      <c r="F38" s="25">
        <f>+'Agricultural production'!C37</f>
        <v>1272.5</v>
      </c>
    </row>
    <row r="39" spans="1:6" x14ac:dyDescent="0.2">
      <c r="A39">
        <v>1735</v>
      </c>
      <c r="B39">
        <v>53225</v>
      </c>
      <c r="C39">
        <v>36600</v>
      </c>
      <c r="D39">
        <v>7250</v>
      </c>
      <c r="F39" s="25">
        <f>+'Agricultural production'!C38</f>
        <v>1889.5</v>
      </c>
    </row>
    <row r="40" spans="1:6" x14ac:dyDescent="0.2">
      <c r="A40">
        <v>1736</v>
      </c>
      <c r="B40">
        <v>51285</v>
      </c>
      <c r="C40">
        <v>32000</v>
      </c>
      <c r="D40">
        <v>7235</v>
      </c>
      <c r="F40" s="25">
        <f>+'Agricultural production'!C39</f>
        <v>1289</v>
      </c>
    </row>
    <row r="41" spans="1:6" x14ac:dyDescent="0.2">
      <c r="A41">
        <v>1737</v>
      </c>
      <c r="B41">
        <v>36295</v>
      </c>
      <c r="C41">
        <v>25000</v>
      </c>
      <c r="D41">
        <v>5325</v>
      </c>
      <c r="F41" s="25">
        <f>+'Agricultural production'!C40</f>
        <v>1569.5</v>
      </c>
    </row>
    <row r="42" spans="1:6" x14ac:dyDescent="0.2">
      <c r="A42">
        <v>1738</v>
      </c>
      <c r="B42">
        <v>42725</v>
      </c>
      <c r="C42">
        <v>30500</v>
      </c>
      <c r="D42">
        <v>6800</v>
      </c>
      <c r="F42" s="25">
        <f>+'Agricultural production'!C41</f>
        <v>963.5</v>
      </c>
    </row>
    <row r="43" spans="1:6" x14ac:dyDescent="0.2">
      <c r="A43">
        <v>1739</v>
      </c>
      <c r="B43">
        <v>39350</v>
      </c>
      <c r="C43">
        <v>24500</v>
      </c>
      <c r="D43">
        <v>6950</v>
      </c>
      <c r="F43" s="25">
        <f>+'Agricultural production'!C42</f>
        <v>860.5</v>
      </c>
    </row>
    <row r="44" spans="1:6" x14ac:dyDescent="0.2">
      <c r="A44">
        <v>1740</v>
      </c>
      <c r="B44">
        <v>41475</v>
      </c>
      <c r="C44">
        <v>24725</v>
      </c>
      <c r="D44">
        <v>10250</v>
      </c>
      <c r="F44" s="25">
        <f>+'Agricultural production'!C43</f>
        <v>937.5</v>
      </c>
    </row>
    <row r="45" spans="1:6" x14ac:dyDescent="0.2">
      <c r="A45">
        <v>1741</v>
      </c>
      <c r="B45">
        <v>40875</v>
      </c>
      <c r="C45">
        <v>28400</v>
      </c>
      <c r="D45">
        <v>7200</v>
      </c>
      <c r="F45" s="25">
        <f>+'Agricultural production'!C44</f>
        <v>1028.5</v>
      </c>
    </row>
    <row r="46" spans="1:6" x14ac:dyDescent="0.2">
      <c r="A46">
        <v>1742</v>
      </c>
      <c r="B46">
        <v>41195</v>
      </c>
      <c r="C46">
        <v>29125</v>
      </c>
      <c r="D46">
        <v>7645</v>
      </c>
      <c r="F46" s="25">
        <f>+'Agricultural production'!C45</f>
        <v>1204.5</v>
      </c>
    </row>
    <row r="47" spans="1:6" x14ac:dyDescent="0.2">
      <c r="A47">
        <v>1743</v>
      </c>
      <c r="B47">
        <v>34600</v>
      </c>
      <c r="C47">
        <v>20100</v>
      </c>
      <c r="D47">
        <v>8175</v>
      </c>
      <c r="F47" s="25">
        <f>+'Agricultural production'!C46</f>
        <v>1981.5</v>
      </c>
    </row>
    <row r="48" spans="1:6" x14ac:dyDescent="0.2">
      <c r="A48">
        <v>1744</v>
      </c>
      <c r="B48">
        <v>32750</v>
      </c>
      <c r="C48">
        <v>23000</v>
      </c>
      <c r="D48">
        <v>5350</v>
      </c>
      <c r="F48" s="25">
        <f>+'Agricultural production'!C47</f>
        <v>2188</v>
      </c>
    </row>
    <row r="49" spans="1:6" x14ac:dyDescent="0.2">
      <c r="A49">
        <v>1745</v>
      </c>
      <c r="B49">
        <v>35400</v>
      </c>
      <c r="C49">
        <v>23350</v>
      </c>
      <c r="D49">
        <v>7075</v>
      </c>
      <c r="F49" s="25">
        <f>+'Agricultural production'!C48</f>
        <v>2070.5</v>
      </c>
    </row>
    <row r="50" spans="1:6" x14ac:dyDescent="0.2">
      <c r="A50">
        <v>1746</v>
      </c>
      <c r="B50">
        <v>30325</v>
      </c>
      <c r="C50">
        <v>19150</v>
      </c>
      <c r="D50">
        <v>5875</v>
      </c>
      <c r="F50" s="25">
        <f>+'Agricultural production'!C49</f>
        <v>2086.5</v>
      </c>
    </row>
    <row r="51" spans="1:6" x14ac:dyDescent="0.2">
      <c r="A51">
        <v>1747</v>
      </c>
      <c r="B51">
        <v>26525</v>
      </c>
      <c r="C51">
        <v>19150</v>
      </c>
      <c r="D51">
        <v>3825</v>
      </c>
      <c r="F51" s="25">
        <f>+'Agricultural production'!C50</f>
        <v>2909.5</v>
      </c>
    </row>
    <row r="52" spans="1:6" x14ac:dyDescent="0.2">
      <c r="A52">
        <v>1748</v>
      </c>
      <c r="B52">
        <v>30400</v>
      </c>
      <c r="C52">
        <v>19900</v>
      </c>
      <c r="D52">
        <v>6725</v>
      </c>
      <c r="F52" s="25">
        <f>+'Agricultural production'!C51</f>
        <v>2347.5</v>
      </c>
    </row>
    <row r="53" spans="1:6" x14ac:dyDescent="0.2">
      <c r="A53">
        <v>1749</v>
      </c>
      <c r="B53">
        <v>33150</v>
      </c>
      <c r="C53">
        <v>19000</v>
      </c>
      <c r="D53">
        <v>8950</v>
      </c>
      <c r="F53" s="25">
        <f>+'Agricultural production'!C52</f>
        <v>2132.5</v>
      </c>
    </row>
    <row r="54" spans="1:6" x14ac:dyDescent="0.2">
      <c r="A54">
        <v>1750</v>
      </c>
      <c r="B54">
        <v>35750</v>
      </c>
      <c r="C54">
        <v>22000</v>
      </c>
      <c r="D54">
        <v>9525</v>
      </c>
      <c r="F54" s="25">
        <f>+'Agricultural production'!C53</f>
        <v>4316</v>
      </c>
    </row>
    <row r="55" spans="1:6" x14ac:dyDescent="0.2">
      <c r="A55">
        <v>1751</v>
      </c>
      <c r="B55">
        <v>32950</v>
      </c>
      <c r="C55">
        <v>20000</v>
      </c>
      <c r="D55">
        <v>8125</v>
      </c>
      <c r="F55" s="25">
        <f>+'Agricultural production'!C54</f>
        <v>2970.5</v>
      </c>
    </row>
    <row r="56" spans="1:6" x14ac:dyDescent="0.2">
      <c r="A56">
        <v>1752</v>
      </c>
      <c r="B56">
        <v>46875</v>
      </c>
      <c r="C56">
        <v>24300</v>
      </c>
      <c r="D56">
        <v>16725</v>
      </c>
      <c r="F56" s="25">
        <f>+'Agricultural production'!C55</f>
        <v>2050.5</v>
      </c>
    </row>
    <row r="57" spans="1:6" x14ac:dyDescent="0.2">
      <c r="A57">
        <v>1753</v>
      </c>
      <c r="B57">
        <v>50575</v>
      </c>
      <c r="C57">
        <v>30000</v>
      </c>
      <c r="D57">
        <v>13800</v>
      </c>
      <c r="F57" s="25">
        <f>+'Agricultural production'!C56</f>
        <v>1909</v>
      </c>
    </row>
    <row r="58" spans="1:6" x14ac:dyDescent="0.2">
      <c r="A58">
        <v>1754</v>
      </c>
      <c r="B58">
        <v>44725</v>
      </c>
      <c r="C58">
        <v>24400</v>
      </c>
      <c r="D58">
        <v>14750</v>
      </c>
      <c r="F58" s="25">
        <f>+'Agricultural production'!C57</f>
        <v>2267.5</v>
      </c>
    </row>
    <row r="59" spans="1:6" x14ac:dyDescent="0.2">
      <c r="A59">
        <v>1755</v>
      </c>
      <c r="B59">
        <v>40050</v>
      </c>
      <c r="C59">
        <v>28500</v>
      </c>
      <c r="D59">
        <v>7175</v>
      </c>
      <c r="F59" s="25">
        <f>+'Agricultural production'!C58</f>
        <v>3321</v>
      </c>
    </row>
    <row r="60" spans="1:6" x14ac:dyDescent="0.2">
      <c r="A60">
        <v>1756</v>
      </c>
      <c r="B60">
        <v>50500</v>
      </c>
      <c r="C60">
        <v>27100</v>
      </c>
      <c r="D60">
        <v>17000</v>
      </c>
      <c r="F60" s="25">
        <f>+'Agricultural production'!C59</f>
        <v>4130</v>
      </c>
    </row>
    <row r="61" spans="1:6" x14ac:dyDescent="0.2">
      <c r="A61">
        <v>1757</v>
      </c>
      <c r="B61">
        <v>54550</v>
      </c>
      <c r="C61">
        <v>24100</v>
      </c>
      <c r="D61">
        <v>24500</v>
      </c>
      <c r="E61">
        <v>500</v>
      </c>
      <c r="F61" s="25">
        <f>+'Agricultural production'!C60</f>
        <v>3019</v>
      </c>
    </row>
    <row r="62" spans="1:6" x14ac:dyDescent="0.2">
      <c r="A62">
        <v>1758</v>
      </c>
      <c r="B62">
        <v>54525</v>
      </c>
      <c r="C62" s="8">
        <v>22875</v>
      </c>
      <c r="D62">
        <v>23250</v>
      </c>
      <c r="E62">
        <v>775</v>
      </c>
      <c r="F62" s="25">
        <f>+'Agricultural production'!C61</f>
        <v>3272.5</v>
      </c>
    </row>
    <row r="63" spans="1:6" x14ac:dyDescent="0.2">
      <c r="A63">
        <v>1759</v>
      </c>
      <c r="B63">
        <v>28025</v>
      </c>
      <c r="C63">
        <v>12300</v>
      </c>
      <c r="D63">
        <v>8375</v>
      </c>
      <c r="E63">
        <v>2700</v>
      </c>
      <c r="F63" s="25">
        <f>+'Agricultural production'!C62</f>
        <v>1831</v>
      </c>
    </row>
    <row r="64" spans="1:6" x14ac:dyDescent="0.2">
      <c r="A64">
        <v>1760</v>
      </c>
      <c r="B64">
        <v>43925</v>
      </c>
      <c r="C64">
        <v>18000</v>
      </c>
      <c r="D64">
        <v>14350</v>
      </c>
      <c r="E64">
        <v>6000</v>
      </c>
      <c r="F64" s="25">
        <f>+'Agricultural production'!C63</f>
        <v>2830</v>
      </c>
    </row>
    <row r="65" spans="1:6" x14ac:dyDescent="0.2">
      <c r="A65">
        <v>1761</v>
      </c>
      <c r="B65">
        <v>50175</v>
      </c>
      <c r="C65">
        <v>20700</v>
      </c>
      <c r="D65">
        <v>17975</v>
      </c>
      <c r="E65">
        <v>6300</v>
      </c>
      <c r="F65" s="25">
        <f>+'Agricultural production'!C64</f>
        <v>2767.5</v>
      </c>
    </row>
    <row r="66" spans="1:6" x14ac:dyDescent="0.2">
      <c r="A66">
        <v>1762</v>
      </c>
      <c r="B66">
        <v>57350</v>
      </c>
      <c r="C66">
        <v>20000</v>
      </c>
      <c r="D66">
        <v>23000</v>
      </c>
      <c r="F66" s="25">
        <f>+'Agricultural production'!C65</f>
        <v>1998.5</v>
      </c>
    </row>
    <row r="67" spans="1:6" x14ac:dyDescent="0.2">
      <c r="A67">
        <v>1763</v>
      </c>
      <c r="B67">
        <v>61850</v>
      </c>
      <c r="C67">
        <v>23200</v>
      </c>
      <c r="D67">
        <v>24750</v>
      </c>
      <c r="E67">
        <v>13325</v>
      </c>
      <c r="F67" s="25">
        <f>+'Agricultural production'!C66</f>
        <v>2805.5</v>
      </c>
    </row>
    <row r="68" spans="1:6" x14ac:dyDescent="0.2">
      <c r="A68">
        <v>1764</v>
      </c>
      <c r="B68">
        <v>68200</v>
      </c>
      <c r="C68">
        <v>31000</v>
      </c>
      <c r="D68">
        <v>24550</v>
      </c>
      <c r="E68">
        <v>3000</v>
      </c>
      <c r="F68" s="25">
        <f>+'Agricultural production'!C67</f>
        <v>3730</v>
      </c>
    </row>
    <row r="69" spans="1:6" x14ac:dyDescent="0.2">
      <c r="A69">
        <v>1765</v>
      </c>
      <c r="B69">
        <v>57475</v>
      </c>
      <c r="C69">
        <v>27400</v>
      </c>
      <c r="D69">
        <v>22300</v>
      </c>
      <c r="E69">
        <v>2100</v>
      </c>
      <c r="F69" s="25">
        <f>+'Agricultural production'!C68</f>
        <v>2786</v>
      </c>
    </row>
    <row r="70" spans="1:6" x14ac:dyDescent="0.2">
      <c r="A70">
        <v>1766</v>
      </c>
      <c r="B70">
        <v>53025</v>
      </c>
      <c r="C70">
        <v>22000</v>
      </c>
      <c r="D70">
        <v>23300</v>
      </c>
      <c r="E70">
        <v>800</v>
      </c>
      <c r="F70" s="25">
        <f>+'Agricultural production'!C69</f>
        <v>3406</v>
      </c>
    </row>
    <row r="71" spans="1:6" x14ac:dyDescent="0.2">
      <c r="A71">
        <v>1767</v>
      </c>
      <c r="B71">
        <v>57725</v>
      </c>
      <c r="C71">
        <v>26100</v>
      </c>
      <c r="D71">
        <v>22600</v>
      </c>
      <c r="E71">
        <v>3000</v>
      </c>
      <c r="F71" s="25">
        <f>+'Agricultural production'!C70</f>
        <v>3521</v>
      </c>
    </row>
    <row r="72" spans="1:6" x14ac:dyDescent="0.2">
      <c r="A72">
        <v>1768</v>
      </c>
      <c r="B72">
        <v>61900</v>
      </c>
      <c r="C72">
        <v>28000</v>
      </c>
      <c r="D72">
        <v>24300</v>
      </c>
      <c r="E72">
        <v>4100</v>
      </c>
      <c r="F72" s="25">
        <f>+'Agricultural production'!C71</f>
        <v>3772</v>
      </c>
    </row>
    <row r="73" spans="1:6" x14ac:dyDescent="0.2">
      <c r="A73">
        <v>1769</v>
      </c>
      <c r="B73">
        <v>71400</v>
      </c>
      <c r="C73">
        <v>34500</v>
      </c>
      <c r="D73">
        <v>26300</v>
      </c>
      <c r="E73">
        <v>5300</v>
      </c>
      <c r="F73" s="25">
        <f>+'Agricultural production'!C72</f>
        <v>4624.5</v>
      </c>
    </row>
    <row r="74" spans="1:6" x14ac:dyDescent="0.2">
      <c r="A74">
        <v>1770</v>
      </c>
      <c r="B74">
        <v>78525</v>
      </c>
      <c r="C74">
        <v>40000</v>
      </c>
      <c r="D74">
        <v>26000</v>
      </c>
      <c r="E74">
        <v>6200</v>
      </c>
      <c r="F74" s="25">
        <f>+'Agricultural production'!C73</f>
        <v>3976</v>
      </c>
    </row>
    <row r="75" spans="1:6" x14ac:dyDescent="0.2">
      <c r="A75">
        <v>1771</v>
      </c>
      <c r="B75">
        <v>76825</v>
      </c>
      <c r="C75">
        <v>36300</v>
      </c>
      <c r="D75">
        <v>25400</v>
      </c>
      <c r="E75">
        <v>8800</v>
      </c>
      <c r="F75" s="25">
        <f>+'Agricultural production'!C74</f>
        <v>3784</v>
      </c>
    </row>
    <row r="76" spans="1:6" x14ac:dyDescent="0.2">
      <c r="A76">
        <v>1772</v>
      </c>
      <c r="B76">
        <v>72050</v>
      </c>
      <c r="C76">
        <v>32300</v>
      </c>
      <c r="D76">
        <v>26325</v>
      </c>
      <c r="E76">
        <v>6000</v>
      </c>
      <c r="F76" s="25">
        <f>+'Agricultural production'!C75</f>
        <v>1934.5</v>
      </c>
    </row>
    <row r="77" spans="1:6" x14ac:dyDescent="0.2">
      <c r="A77">
        <v>1773</v>
      </c>
      <c r="B77">
        <v>77775</v>
      </c>
      <c r="C77">
        <v>32000</v>
      </c>
      <c r="D77">
        <v>26975</v>
      </c>
      <c r="E77">
        <v>9300</v>
      </c>
      <c r="F77" s="25">
        <f>+'Agricultural production'!C76</f>
        <v>5332</v>
      </c>
    </row>
    <row r="78" spans="1:6" x14ac:dyDescent="0.2">
      <c r="A78">
        <v>1774</v>
      </c>
      <c r="B78">
        <v>75125</v>
      </c>
      <c r="C78">
        <v>35550</v>
      </c>
      <c r="D78">
        <v>25050</v>
      </c>
      <c r="E78">
        <v>8500</v>
      </c>
      <c r="F78" s="25">
        <f>+'Agricultural production'!C77</f>
        <v>2611</v>
      </c>
    </row>
    <row r="79" spans="1:6" x14ac:dyDescent="0.2">
      <c r="A79">
        <v>1775</v>
      </c>
      <c r="B79">
        <v>72000</v>
      </c>
      <c r="C79">
        <v>29000</v>
      </c>
      <c r="D79">
        <v>27625</v>
      </c>
      <c r="E79">
        <v>8750</v>
      </c>
      <c r="F79" s="25">
        <f>+'Agricultural production'!C78</f>
        <v>5528</v>
      </c>
    </row>
    <row r="80" spans="1:6" x14ac:dyDescent="0.2">
      <c r="A80">
        <v>1776</v>
      </c>
      <c r="B80">
        <v>86175</v>
      </c>
      <c r="C80">
        <v>36200</v>
      </c>
      <c r="D80">
        <v>33400</v>
      </c>
      <c r="E80">
        <v>9500</v>
      </c>
      <c r="F80" s="25">
        <f>+'Agricultural production'!C79</f>
        <v>4223</v>
      </c>
    </row>
    <row r="81" spans="1:6" x14ac:dyDescent="0.2">
      <c r="A81">
        <v>1777</v>
      </c>
      <c r="B81">
        <v>82325</v>
      </c>
      <c r="C81">
        <v>35200</v>
      </c>
      <c r="D81">
        <v>34200</v>
      </c>
      <c r="E81">
        <v>6100</v>
      </c>
      <c r="F81" s="25">
        <f>+'Agricultural production'!C80</f>
        <v>2782</v>
      </c>
    </row>
    <row r="82" spans="1:6" x14ac:dyDescent="0.2">
      <c r="A82">
        <v>1778</v>
      </c>
      <c r="B82">
        <v>82475</v>
      </c>
      <c r="C82">
        <v>32000</v>
      </c>
      <c r="D82">
        <v>34600</v>
      </c>
      <c r="E82">
        <v>8000</v>
      </c>
      <c r="F82" s="25">
        <f>+'Agricultural production'!C81</f>
        <v>4525</v>
      </c>
    </row>
    <row r="83" spans="1:6" x14ac:dyDescent="0.2">
      <c r="A83">
        <v>1779</v>
      </c>
      <c r="B83">
        <v>76575</v>
      </c>
      <c r="C83">
        <v>32200</v>
      </c>
      <c r="D83">
        <v>18300</v>
      </c>
      <c r="E83">
        <v>18500</v>
      </c>
      <c r="F83" s="25">
        <f>+'Agricultural production'!C82</f>
        <v>5152</v>
      </c>
    </row>
    <row r="84" spans="1:6" x14ac:dyDescent="0.2">
      <c r="A84">
        <v>1780</v>
      </c>
      <c r="B84">
        <v>107550</v>
      </c>
      <c r="C84">
        <v>34600</v>
      </c>
      <c r="D84">
        <v>29300</v>
      </c>
      <c r="E84">
        <v>34300</v>
      </c>
      <c r="F84" s="25">
        <f>+'Agricultural production'!C83</f>
        <v>5074</v>
      </c>
    </row>
    <row r="85" spans="1:6" x14ac:dyDescent="0.2">
      <c r="A85">
        <v>1781</v>
      </c>
      <c r="B85">
        <v>125625</v>
      </c>
      <c r="C85">
        <v>45000</v>
      </c>
      <c r="D85">
        <v>37100</v>
      </c>
      <c r="E85">
        <v>32700</v>
      </c>
      <c r="F85" s="25">
        <f>+'Agricultural production'!C84</f>
        <v>0</v>
      </c>
    </row>
    <row r="86" spans="1:6" x14ac:dyDescent="0.2">
      <c r="A86">
        <v>1782</v>
      </c>
      <c r="B86">
        <v>103950</v>
      </c>
      <c r="C86">
        <v>50600</v>
      </c>
      <c r="D86">
        <v>42700</v>
      </c>
      <c r="F86" s="25">
        <f>+'Agricultural production'!C85</f>
        <v>2868</v>
      </c>
    </row>
    <row r="87" spans="1:6" x14ac:dyDescent="0.2">
      <c r="A87">
        <v>1783</v>
      </c>
      <c r="B87">
        <v>117200</v>
      </c>
      <c r="C87">
        <v>61400</v>
      </c>
      <c r="D87">
        <v>49550</v>
      </c>
      <c r="F87" s="25">
        <f>+'Agricultural production'!C86</f>
        <v>3245.5</v>
      </c>
    </row>
    <row r="88" spans="1:6" x14ac:dyDescent="0.2">
      <c r="A88">
        <v>1784</v>
      </c>
      <c r="B88">
        <v>164325</v>
      </c>
      <c r="C88">
        <v>71500</v>
      </c>
      <c r="D88">
        <v>55950</v>
      </c>
      <c r="E88">
        <v>25400</v>
      </c>
      <c r="F88" s="25">
        <f>+'Agricultural production'!C87</f>
        <v>4462</v>
      </c>
    </row>
    <row r="89" spans="1:6" x14ac:dyDescent="0.2">
      <c r="A89">
        <v>1785</v>
      </c>
      <c r="B89">
        <v>160750</v>
      </c>
      <c r="C89">
        <v>74500</v>
      </c>
      <c r="D89">
        <v>52950</v>
      </c>
      <c r="E89">
        <v>19000</v>
      </c>
      <c r="F89" s="25">
        <f>+'Agricultural production'!C88</f>
        <v>4879</v>
      </c>
    </row>
    <row r="90" spans="1:6" x14ac:dyDescent="0.2">
      <c r="A90">
        <v>1786</v>
      </c>
      <c r="B90">
        <v>167350</v>
      </c>
      <c r="C90">
        <v>86500</v>
      </c>
      <c r="D90">
        <v>49950</v>
      </c>
      <c r="E90">
        <v>18000</v>
      </c>
      <c r="F90" s="25">
        <f>+'Agricultural production'!C89</f>
        <v>5519</v>
      </c>
    </row>
    <row r="91" spans="1:6" x14ac:dyDescent="0.2">
      <c r="A91">
        <v>1787</v>
      </c>
      <c r="B91">
        <v>194500</v>
      </c>
      <c r="C91">
        <v>123000</v>
      </c>
      <c r="D91">
        <v>45200</v>
      </c>
      <c r="E91">
        <v>14200</v>
      </c>
      <c r="F91" s="25">
        <f>+'Agricultural production'!C90</f>
        <v>8873</v>
      </c>
    </row>
    <row r="92" spans="1:6" x14ac:dyDescent="0.2">
      <c r="A92">
        <v>1788</v>
      </c>
      <c r="B92">
        <v>216800</v>
      </c>
      <c r="C92">
        <v>137000</v>
      </c>
      <c r="D92">
        <v>51700</v>
      </c>
      <c r="E92">
        <v>9300</v>
      </c>
      <c r="F92" s="25">
        <f>+'Agricultural production'!C91</f>
        <v>7186</v>
      </c>
    </row>
    <row r="93" spans="1:6" x14ac:dyDescent="0.2">
      <c r="A93">
        <v>1789</v>
      </c>
      <c r="B93">
        <v>222650</v>
      </c>
      <c r="C93">
        <v>140000</v>
      </c>
      <c r="D93">
        <v>52000</v>
      </c>
      <c r="E93">
        <v>10800</v>
      </c>
      <c r="F93" s="25">
        <f>+'Agricultural production'!C92</f>
        <v>5070</v>
      </c>
    </row>
    <row r="94" spans="1:6" x14ac:dyDescent="0.2">
      <c r="A94">
        <v>1790</v>
      </c>
      <c r="B94">
        <v>241700</v>
      </c>
      <c r="C94">
        <v>144900</v>
      </c>
      <c r="D94">
        <v>68100</v>
      </c>
      <c r="E94">
        <v>8500</v>
      </c>
      <c r="F94" s="25">
        <f>+'Agricultural production'!C93</f>
        <v>5860</v>
      </c>
    </row>
    <row r="95" spans="1:6" x14ac:dyDescent="0.2">
      <c r="A95">
        <v>1791</v>
      </c>
      <c r="B95">
        <v>196150</v>
      </c>
      <c r="C95">
        <v>90000</v>
      </c>
      <c r="D95">
        <v>66000</v>
      </c>
      <c r="E95">
        <v>18300</v>
      </c>
      <c r="F95" s="25">
        <f>+'Agricultural production'!C94</f>
        <v>6158</v>
      </c>
    </row>
    <row r="96" spans="1:6" x14ac:dyDescent="0.2">
      <c r="A96">
        <v>1792</v>
      </c>
      <c r="B96">
        <v>127650</v>
      </c>
      <c r="C96">
        <v>51500</v>
      </c>
      <c r="D96">
        <v>48000</v>
      </c>
      <c r="E96">
        <v>9200</v>
      </c>
      <c r="F96" s="25">
        <f>+'Agricultural production'!C95</f>
        <v>5259</v>
      </c>
    </row>
    <row r="97" spans="1:7" x14ac:dyDescent="0.2">
      <c r="A97">
        <v>1793</v>
      </c>
      <c r="B97">
        <v>131550</v>
      </c>
      <c r="C97" s="9">
        <v>45050</v>
      </c>
      <c r="D97">
        <v>60850</v>
      </c>
      <c r="E97">
        <v>8100</v>
      </c>
      <c r="F97" s="25">
        <f>+'Agricultural production'!C96</f>
        <v>5874</v>
      </c>
    </row>
    <row r="98" spans="1:7" x14ac:dyDescent="0.2">
      <c r="F98" s="25"/>
    </row>
    <row r="99" spans="1:7" x14ac:dyDescent="0.2">
      <c r="B99" t="s">
        <v>148</v>
      </c>
    </row>
    <row r="100" spans="1:7" x14ac:dyDescent="0.2">
      <c r="B100" t="s">
        <v>149</v>
      </c>
    </row>
    <row r="101" spans="1:7" x14ac:dyDescent="0.2">
      <c r="B101" t="s">
        <v>150</v>
      </c>
    </row>
    <row r="102" spans="1:7" x14ac:dyDescent="0.2">
      <c r="B102" s="7" t="s">
        <v>151</v>
      </c>
      <c r="C102" s="7"/>
      <c r="D102" s="7"/>
      <c r="E102" s="7"/>
      <c r="F102" s="7"/>
    </row>
    <row r="103" spans="1:7" x14ac:dyDescent="0.2">
      <c r="B103" s="7" t="s">
        <v>152</v>
      </c>
      <c r="C103" s="7"/>
      <c r="D103" s="7"/>
      <c r="E103" s="7"/>
      <c r="F103" s="7"/>
    </row>
    <row r="104" spans="1:7" x14ac:dyDescent="0.2">
      <c r="B104" s="8" t="s">
        <v>153</v>
      </c>
      <c r="C104" s="8"/>
      <c r="D104" s="8"/>
      <c r="E104" s="8"/>
      <c r="F104" s="8"/>
      <c r="G104" s="8"/>
    </row>
    <row r="105" spans="1:7" x14ac:dyDescent="0.2">
      <c r="B105" s="8" t="s">
        <v>154</v>
      </c>
      <c r="C105" s="8"/>
      <c r="D105" s="8"/>
      <c r="E105" s="8"/>
      <c r="F105" s="8"/>
      <c r="G105" s="8"/>
    </row>
    <row r="106" spans="1:7" x14ac:dyDescent="0.2">
      <c r="B106" s="8" t="s">
        <v>155</v>
      </c>
      <c r="C106" s="8"/>
      <c r="D106" s="8"/>
      <c r="E106" s="8"/>
      <c r="F106" s="8"/>
      <c r="G106" s="8"/>
    </row>
    <row r="107" spans="1:7" x14ac:dyDescent="0.2">
      <c r="B107" s="9" t="s">
        <v>156</v>
      </c>
      <c r="C107" s="9"/>
      <c r="D107" s="9"/>
      <c r="E107" s="9"/>
      <c r="F107" s="9"/>
      <c r="G107" s="9"/>
    </row>
    <row r="108" spans="1:7" x14ac:dyDescent="0.2">
      <c r="B108" s="9" t="s">
        <v>157</v>
      </c>
      <c r="C108" s="9"/>
      <c r="D108" s="9"/>
      <c r="E108" s="9"/>
      <c r="F108" s="9"/>
      <c r="G108" s="9"/>
    </row>
  </sheetData>
  <phoneticPr fontId="5"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6"/>
  <sheetViews>
    <sheetView topLeftCell="A87" workbookViewId="0">
      <selection activeCell="H101" sqref="H101:H115"/>
    </sheetView>
  </sheetViews>
  <sheetFormatPr defaultRowHeight="12.75" x14ac:dyDescent="0.2"/>
  <cols>
    <col min="26" max="26" width="10.5703125" bestFit="1" customWidth="1"/>
    <col min="29" max="29" width="11.5703125" bestFit="1" customWidth="1"/>
  </cols>
  <sheetData>
    <row r="1" spans="1:35" x14ac:dyDescent="0.2">
      <c r="A1" s="27" t="s">
        <v>158</v>
      </c>
      <c r="B1" s="27"/>
      <c r="C1" s="27"/>
      <c r="D1" s="27"/>
      <c r="E1" s="27"/>
      <c r="F1" s="27"/>
      <c r="G1" s="27"/>
      <c r="H1" s="27"/>
      <c r="I1" s="27"/>
      <c r="J1" s="27"/>
      <c r="K1" s="27" t="s">
        <v>189</v>
      </c>
      <c r="L1" s="27"/>
      <c r="M1" s="27" t="s">
        <v>357</v>
      </c>
      <c r="N1" s="27"/>
      <c r="O1" s="27"/>
      <c r="P1" s="27"/>
      <c r="Q1" s="27" t="s">
        <v>203</v>
      </c>
      <c r="R1" s="27"/>
      <c r="S1" s="27" t="s">
        <v>205</v>
      </c>
      <c r="T1" s="27"/>
      <c r="U1" s="27" t="s">
        <v>358</v>
      </c>
      <c r="V1" s="27"/>
      <c r="W1" s="27"/>
      <c r="X1" s="27"/>
      <c r="Y1" s="27"/>
      <c r="Z1" s="27"/>
      <c r="AA1" s="27"/>
      <c r="AB1" s="27"/>
      <c r="AC1" s="27" t="s">
        <v>223</v>
      </c>
      <c r="AD1" s="27"/>
      <c r="AE1" s="27"/>
      <c r="AF1" s="27" t="s">
        <v>222</v>
      </c>
      <c r="AG1" s="27"/>
      <c r="AH1" s="27"/>
      <c r="AI1" s="27"/>
    </row>
    <row r="2" spans="1:35" s="5" customFormat="1" x14ac:dyDescent="0.2">
      <c r="A2" s="27" t="s">
        <v>0</v>
      </c>
      <c r="B2" s="27" t="s">
        <v>159</v>
      </c>
      <c r="C2" s="27" t="s">
        <v>160</v>
      </c>
      <c r="D2" s="27" t="s">
        <v>161</v>
      </c>
      <c r="E2" s="27" t="s">
        <v>162</v>
      </c>
      <c r="F2" s="27" t="s">
        <v>318</v>
      </c>
      <c r="G2" s="27" t="s">
        <v>217</v>
      </c>
      <c r="H2" s="27" t="s">
        <v>218</v>
      </c>
      <c r="I2" s="27" t="s">
        <v>220</v>
      </c>
      <c r="J2" s="27" t="s">
        <v>221</v>
      </c>
      <c r="K2" s="27" t="s">
        <v>160</v>
      </c>
      <c r="L2" s="27" t="s">
        <v>161</v>
      </c>
      <c r="M2" s="27" t="s">
        <v>190</v>
      </c>
      <c r="N2" s="27" t="s">
        <v>191</v>
      </c>
      <c r="O2" s="27" t="s">
        <v>208</v>
      </c>
      <c r="P2" s="27" t="s">
        <v>209</v>
      </c>
      <c r="Q2" s="27" t="s">
        <v>204</v>
      </c>
      <c r="R2" s="27" t="s">
        <v>211</v>
      </c>
      <c r="S2" s="27" t="s">
        <v>206</v>
      </c>
      <c r="T2" s="27" t="s">
        <v>207</v>
      </c>
      <c r="U2" s="27"/>
      <c r="V2" s="27" t="s">
        <v>210</v>
      </c>
      <c r="W2" s="27"/>
      <c r="X2" s="27"/>
      <c r="Y2" s="27"/>
      <c r="Z2" s="27" t="s">
        <v>219</v>
      </c>
      <c r="AA2" s="27"/>
      <c r="AB2" s="27"/>
      <c r="AC2" s="27"/>
      <c r="AD2" s="27" t="s">
        <v>244</v>
      </c>
      <c r="AE2" s="27"/>
      <c r="AF2" s="27" t="s">
        <v>160</v>
      </c>
      <c r="AG2" s="27" t="s">
        <v>161</v>
      </c>
      <c r="AH2" s="27"/>
      <c r="AI2" s="27" t="s">
        <v>159</v>
      </c>
    </row>
    <row r="3" spans="1:35" x14ac:dyDescent="0.2">
      <c r="A3">
        <v>1701</v>
      </c>
      <c r="B3">
        <v>681</v>
      </c>
      <c r="C3">
        <v>9704</v>
      </c>
      <c r="D3">
        <v>53126</v>
      </c>
      <c r="E3">
        <v>375</v>
      </c>
      <c r="F3">
        <v>2</v>
      </c>
      <c r="G3">
        <v>1.3</v>
      </c>
      <c r="H3">
        <v>1.2</v>
      </c>
      <c r="I3" s="25">
        <f>+G3*C3</f>
        <v>12615.2</v>
      </c>
      <c r="J3" s="25">
        <f>+H3*D3</f>
        <v>63751.199999999997</v>
      </c>
      <c r="R3" s="25">
        <f>300*(Population!AE4+Population!AG4)</f>
        <v>498095.12761004269</v>
      </c>
      <c r="S3" s="25">
        <f>300*(Population!V4-Population!AE4)</f>
        <v>768347.36828036828</v>
      </c>
      <c r="T3">
        <f>17000*'Agricultural production'!X4</f>
        <v>1122000</v>
      </c>
      <c r="U3" s="25">
        <f>+T3+S3+R3</f>
        <v>2388442.4958904111</v>
      </c>
      <c r="Z3" s="25">
        <f>0.53*D3*42+0.104*C3*300</f>
        <v>1485349.56</v>
      </c>
      <c r="AC3" s="25">
        <f t="shared" ref="AC3:AC66" si="0">+I3*300*0.033+J3*42*0.2</f>
        <v>660400.55999999994</v>
      </c>
      <c r="AD3" s="30">
        <f>+(U3+2*AC3)/3</f>
        <v>1236414.538630137</v>
      </c>
      <c r="AE3" s="33"/>
      <c r="AF3" s="24">
        <v>1.6677307665968117</v>
      </c>
      <c r="AG3" s="24">
        <v>1.4759393157692524</v>
      </c>
      <c r="AH3">
        <v>1702</v>
      </c>
      <c r="AI3" s="24">
        <v>2.0647955150089339</v>
      </c>
    </row>
    <row r="4" spans="1:35" x14ac:dyDescent="0.2">
      <c r="A4">
        <v>1702</v>
      </c>
      <c r="B4">
        <v>746</v>
      </c>
      <c r="C4">
        <v>11682</v>
      </c>
      <c r="D4">
        <v>62055</v>
      </c>
      <c r="E4">
        <v>358</v>
      </c>
      <c r="F4" s="24">
        <v>2.0647955150089334</v>
      </c>
      <c r="G4" s="24">
        <v>1.6677307665968117</v>
      </c>
      <c r="H4" s="24">
        <v>1.4759393157692522</v>
      </c>
      <c r="I4" s="25">
        <f t="shared" ref="I4:I67" si="1">+G4*C4</f>
        <v>19482.430815383956</v>
      </c>
      <c r="J4" s="25">
        <f t="shared" ref="J4:J67" si="2">+H4*D4</f>
        <v>91589.414240060942</v>
      </c>
      <c r="R4" s="25">
        <f>300*(Population!AE5+Population!AG5)</f>
        <v>553839.57827520138</v>
      </c>
      <c r="S4" s="25">
        <f>300*(Population!V5-Population!AE5)</f>
        <v>836104.88090288104</v>
      </c>
      <c r="T4">
        <f>17000*'Agricultural production'!X5</f>
        <v>1343000</v>
      </c>
      <c r="U4" s="25">
        <f t="shared" ref="U4:U67" si="3">+T4+S4+R4</f>
        <v>2732944.4591780822</v>
      </c>
      <c r="Z4" s="25">
        <f t="shared" ref="Z4:Z67" si="4">0.53*D4*42+0.104*C4*300</f>
        <v>1745822.7</v>
      </c>
      <c r="AC4" s="25">
        <f t="shared" si="0"/>
        <v>962227.14468881313</v>
      </c>
      <c r="AD4" s="30">
        <f t="shared" ref="AD4:AD67" si="5">+(U4+2*AC4)/3</f>
        <v>1552466.2495185696</v>
      </c>
      <c r="AE4" s="33"/>
      <c r="AF4" s="24">
        <v>1.0720216512045435</v>
      </c>
      <c r="AG4" s="24">
        <v>1.3327627264807176</v>
      </c>
      <c r="AH4">
        <v>1709</v>
      </c>
      <c r="AI4" s="24">
        <v>1.1210643708194123</v>
      </c>
    </row>
    <row r="5" spans="1:35" x14ac:dyDescent="0.2">
      <c r="A5">
        <v>1703</v>
      </c>
      <c r="B5">
        <v>870</v>
      </c>
      <c r="C5">
        <v>12553</v>
      </c>
      <c r="D5">
        <v>69218</v>
      </c>
      <c r="E5">
        <v>400</v>
      </c>
      <c r="F5" s="24">
        <v>1.892020156584874</v>
      </c>
      <c r="G5" s="24">
        <v>1.5826294643979164</v>
      </c>
      <c r="H5" s="24">
        <v>1.4545802700804833</v>
      </c>
      <c r="I5" s="25">
        <f t="shared" si="1"/>
        <v>19866.747666587045</v>
      </c>
      <c r="J5" s="25">
        <f t="shared" si="2"/>
        <v>100683.13713443089</v>
      </c>
      <c r="R5" s="25">
        <f>300*(Population!AE6+Population!AG6)</f>
        <v>591048.96819476713</v>
      </c>
      <c r="S5" s="25">
        <f>300*(Population!V6-Population!AE6)</f>
        <v>882978.65755865746</v>
      </c>
      <c r="T5">
        <f>17000*'Agricultural production'!X6</f>
        <v>1275000</v>
      </c>
      <c r="U5" s="25">
        <f t="shared" si="3"/>
        <v>2749027.6257534241</v>
      </c>
      <c r="Z5" s="25">
        <f t="shared" si="4"/>
        <v>1932446.2799999998</v>
      </c>
      <c r="AC5" s="25">
        <f t="shared" si="0"/>
        <v>1042419.1538284312</v>
      </c>
      <c r="AD5" s="30">
        <f t="shared" si="5"/>
        <v>1611288.6444700956</v>
      </c>
      <c r="AE5" s="33"/>
      <c r="AF5" s="24">
        <v>1.0587843242812893</v>
      </c>
      <c r="AG5" s="24">
        <v>1.0976170562532253</v>
      </c>
      <c r="AH5">
        <v>1712</v>
      </c>
      <c r="AI5" s="24">
        <v>1.0905658120568393</v>
      </c>
    </row>
    <row r="6" spans="1:35" x14ac:dyDescent="0.2">
      <c r="A6">
        <v>1704</v>
      </c>
      <c r="B6">
        <v>913</v>
      </c>
      <c r="C6">
        <v>11256</v>
      </c>
      <c r="D6">
        <v>67190</v>
      </c>
      <c r="E6">
        <v>440</v>
      </c>
      <c r="F6" s="24">
        <v>1.7337020769865259</v>
      </c>
      <c r="G6" s="24">
        <v>1.4975281621990209</v>
      </c>
      <c r="H6" s="24">
        <v>1.4335303216749566</v>
      </c>
      <c r="I6" s="25">
        <f t="shared" si="1"/>
        <v>16856.176993712179</v>
      </c>
      <c r="J6" s="25">
        <f t="shared" si="2"/>
        <v>96318.902313340339</v>
      </c>
      <c r="R6" s="25">
        <f>300*(Population!AE7+Population!AG7)</f>
        <v>565880.82354520704</v>
      </c>
      <c r="S6" s="25">
        <f>300*(Population!V7-Population!AE7)</f>
        <v>892876.1627561627</v>
      </c>
      <c r="T6">
        <f>17000*'Agricultural production'!X7</f>
        <v>1156000</v>
      </c>
      <c r="U6" s="25">
        <f t="shared" si="3"/>
        <v>2614756.98630137</v>
      </c>
      <c r="Z6" s="25">
        <f t="shared" si="4"/>
        <v>1846836.6</v>
      </c>
      <c r="AC6" s="25">
        <f t="shared" si="0"/>
        <v>975954.93166980951</v>
      </c>
      <c r="AD6" s="30">
        <f t="shared" si="5"/>
        <v>1522222.2832136629</v>
      </c>
      <c r="AE6" s="33"/>
      <c r="AF6" s="24">
        <v>1.0139711001647758</v>
      </c>
      <c r="AG6" s="24">
        <v>1.0177874918861276</v>
      </c>
      <c r="AH6">
        <v>1716</v>
      </c>
      <c r="AI6" s="24">
        <v>0.94885145578446195</v>
      </c>
    </row>
    <row r="7" spans="1:35" x14ac:dyDescent="0.2">
      <c r="A7">
        <v>1705</v>
      </c>
      <c r="B7">
        <v>1014</v>
      </c>
      <c r="C7">
        <v>11964</v>
      </c>
      <c r="D7">
        <v>76423</v>
      </c>
      <c r="E7">
        <v>448</v>
      </c>
      <c r="F7" s="24">
        <v>1.5886315382457503</v>
      </c>
      <c r="G7" s="24">
        <v>1.4124268600001255</v>
      </c>
      <c r="H7" s="24">
        <v>1.4127849974534572</v>
      </c>
      <c r="I7" s="25">
        <f t="shared" si="1"/>
        <v>16898.274953041502</v>
      </c>
      <c r="J7" s="25">
        <f t="shared" si="2"/>
        <v>107969.26786038556</v>
      </c>
      <c r="R7" s="25">
        <f>300*(Population!AE8+Population!AG8)</f>
        <v>596443.35097021458</v>
      </c>
      <c r="S7" s="25">
        <f>300*(Population!V8-Population!AE8)</f>
        <v>937031.15533115529</v>
      </c>
      <c r="T7">
        <f>17000*'Agricultural production'!X8</f>
        <v>1156000</v>
      </c>
      <c r="U7" s="25">
        <f t="shared" si="3"/>
        <v>2689474.50630137</v>
      </c>
      <c r="Z7" s="25">
        <f t="shared" si="4"/>
        <v>2074452.7799999998</v>
      </c>
      <c r="AC7" s="25">
        <f t="shared" si="0"/>
        <v>1074234.7720623496</v>
      </c>
      <c r="AD7" s="30">
        <f t="shared" si="5"/>
        <v>1612648.0168086898</v>
      </c>
      <c r="AE7" s="33"/>
      <c r="AF7" s="24">
        <v>1.241983797090606</v>
      </c>
      <c r="AG7" s="24">
        <v>1.230618635716632</v>
      </c>
      <c r="AH7">
        <v>1719</v>
      </c>
      <c r="AI7" s="24">
        <v>1.0734008604089944</v>
      </c>
    </row>
    <row r="8" spans="1:35" x14ac:dyDescent="0.2">
      <c r="A8">
        <v>1706</v>
      </c>
      <c r="B8">
        <v>1055</v>
      </c>
      <c r="C8">
        <v>11746</v>
      </c>
      <c r="D8">
        <v>69483</v>
      </c>
      <c r="E8">
        <v>325</v>
      </c>
      <c r="F8" s="24">
        <v>1.4557000293244</v>
      </c>
      <c r="G8" s="24">
        <v>1.32732555780123</v>
      </c>
      <c r="H8" s="24">
        <v>1.3923398890491945</v>
      </c>
      <c r="I8" s="25">
        <f t="shared" si="1"/>
        <v>15590.766001933247</v>
      </c>
      <c r="J8" s="25">
        <f t="shared" si="2"/>
        <v>96743.952510805175</v>
      </c>
      <c r="R8" s="25">
        <f>300*(Population!AE9+Population!AG9)</f>
        <v>630275.38731041434</v>
      </c>
      <c r="S8" s="25">
        <f>300*(Population!V9-Population!AE9)</f>
        <v>941897.41376323486</v>
      </c>
      <c r="T8">
        <f>17000*'Agricultural production'!X9</f>
        <v>1241000</v>
      </c>
      <c r="U8" s="25">
        <f t="shared" si="3"/>
        <v>2813172.801073649</v>
      </c>
      <c r="Z8" s="25">
        <f t="shared" si="4"/>
        <v>1913166.7800000003</v>
      </c>
      <c r="AC8" s="25">
        <f t="shared" si="0"/>
        <v>966997.7845099027</v>
      </c>
      <c r="AD8" s="30">
        <f t="shared" si="5"/>
        <v>1582389.4566978181</v>
      </c>
      <c r="AE8" s="33"/>
      <c r="AF8" s="24">
        <v>1.2294661622050689</v>
      </c>
      <c r="AG8" s="24">
        <v>1.7045846113526943</v>
      </c>
      <c r="AH8">
        <v>1723</v>
      </c>
      <c r="AI8" s="24">
        <v>1.2701718273167701</v>
      </c>
    </row>
    <row r="9" spans="1:35" x14ac:dyDescent="0.2">
      <c r="A9">
        <v>1707</v>
      </c>
      <c r="B9">
        <v>1261</v>
      </c>
      <c r="C9">
        <v>12671</v>
      </c>
      <c r="D9">
        <v>79314</v>
      </c>
      <c r="E9">
        <v>159</v>
      </c>
      <c r="F9" s="24">
        <v>1.3338917957747698</v>
      </c>
      <c r="G9" s="24">
        <v>1.2422242556023346</v>
      </c>
      <c r="H9" s="24">
        <v>1.3721906518910276</v>
      </c>
      <c r="I9" s="25">
        <f t="shared" si="1"/>
        <v>15740.223542737182</v>
      </c>
      <c r="J9" s="25">
        <f t="shared" si="2"/>
        <v>108833.92936408496</v>
      </c>
      <c r="R9" s="25">
        <f>300*(Population!AE10+Population!AG10)</f>
        <v>579579.20752274187</v>
      </c>
      <c r="S9" s="25">
        <f>300*(Population!V10-Population!AE10)</f>
        <v>891082.96209621499</v>
      </c>
      <c r="T9">
        <f>17000*'Agricultural production'!X10</f>
        <v>1122000</v>
      </c>
      <c r="U9" s="25">
        <f t="shared" si="3"/>
        <v>2592662.1696189567</v>
      </c>
      <c r="Z9" s="25">
        <f t="shared" si="4"/>
        <v>2160864.84</v>
      </c>
      <c r="AC9" s="25">
        <f t="shared" si="0"/>
        <v>1070033.2197314119</v>
      </c>
      <c r="AD9" s="30">
        <f t="shared" si="5"/>
        <v>1577576.2030272603</v>
      </c>
      <c r="AE9" s="33"/>
      <c r="AF9" s="24">
        <v>1.5372039989143396</v>
      </c>
      <c r="AG9" s="24">
        <v>1.5274144718150404</v>
      </c>
      <c r="AH9">
        <v>1731</v>
      </c>
      <c r="AI9" s="24">
        <v>1.3205677718521793</v>
      </c>
    </row>
    <row r="10" spans="1:35" x14ac:dyDescent="0.2">
      <c r="A10">
        <v>1708</v>
      </c>
      <c r="B10">
        <v>1586</v>
      </c>
      <c r="C10">
        <v>14320</v>
      </c>
      <c r="D10">
        <v>89553</v>
      </c>
      <c r="E10">
        <v>293</v>
      </c>
      <c r="F10" s="24">
        <v>1.2222760781704525</v>
      </c>
      <c r="G10" s="24">
        <v>1.1571229534034391</v>
      </c>
      <c r="H10" s="24">
        <v>1.3523330042802471</v>
      </c>
      <c r="I10" s="25">
        <f t="shared" si="1"/>
        <v>16570.000692737249</v>
      </c>
      <c r="J10" s="25">
        <f t="shared" si="2"/>
        <v>121105.47753230897</v>
      </c>
      <c r="R10" s="25">
        <f>300*(Population!AE11+Population!AG11)</f>
        <v>735144.48841119255</v>
      </c>
      <c r="S10" s="25">
        <f>300*(Population!V11-Population!AE11)</f>
        <v>988934.7468811539</v>
      </c>
      <c r="T10">
        <f>17000*'Agricultural production'!X11</f>
        <v>1190000</v>
      </c>
      <c r="U10" s="25">
        <f t="shared" si="3"/>
        <v>2914079.2352923462</v>
      </c>
      <c r="Z10" s="25">
        <f t="shared" si="4"/>
        <v>2440233.7800000003</v>
      </c>
      <c r="AC10" s="25">
        <f t="shared" si="0"/>
        <v>1181329.018129494</v>
      </c>
      <c r="AD10" s="30">
        <f t="shared" si="5"/>
        <v>1758912.4238504448</v>
      </c>
      <c r="AE10" s="33"/>
      <c r="AF10" s="24">
        <v>1.2937941903658365</v>
      </c>
      <c r="AG10" s="24">
        <v>1.9300932569725713</v>
      </c>
      <c r="AH10">
        <v>1738</v>
      </c>
      <c r="AI10" s="24">
        <v>1.2134691324957962</v>
      </c>
    </row>
    <row r="11" spans="1:35" x14ac:dyDescent="0.2">
      <c r="A11">
        <v>1709</v>
      </c>
      <c r="B11">
        <v>2014</v>
      </c>
      <c r="C11">
        <v>19553</v>
      </c>
      <c r="D11">
        <v>128968</v>
      </c>
      <c r="E11">
        <v>274</v>
      </c>
      <c r="F11" s="24">
        <v>1.1199999999999999</v>
      </c>
      <c r="G11" s="24">
        <v>1.0720216512045435</v>
      </c>
      <c r="H11" s="24">
        <v>1.3327627264807174</v>
      </c>
      <c r="I11" s="25">
        <f t="shared" si="1"/>
        <v>20961.23934600244</v>
      </c>
      <c r="J11" s="25">
        <f t="shared" si="2"/>
        <v>171883.74330876514</v>
      </c>
      <c r="R11" s="25">
        <f>300*(Population!AE12+Population!AG12)</f>
        <v>714747.69115970749</v>
      </c>
      <c r="S11" s="25">
        <f>300*(Population!V12-Population!AE12)</f>
        <v>1034369.7305897437</v>
      </c>
      <c r="T11">
        <f>17000*'Agricultural production'!X12</f>
        <v>1003000</v>
      </c>
      <c r="U11" s="25">
        <f t="shared" si="3"/>
        <v>2752117.4217494512</v>
      </c>
      <c r="Z11" s="25">
        <f t="shared" si="4"/>
        <v>3480881.2800000003</v>
      </c>
      <c r="AC11" s="25">
        <f t="shared" si="0"/>
        <v>1651339.7133190515</v>
      </c>
      <c r="AD11" s="30">
        <f t="shared" si="5"/>
        <v>2018265.6161291848</v>
      </c>
      <c r="AE11" s="33"/>
      <c r="AF11" s="24">
        <v>1.8208932675941061</v>
      </c>
      <c r="AG11" s="24">
        <v>1.7260860988146691</v>
      </c>
      <c r="AH11">
        <v>1741</v>
      </c>
      <c r="AI11" s="24">
        <v>1.7062917439715217</v>
      </c>
    </row>
    <row r="12" spans="1:35" x14ac:dyDescent="0.2">
      <c r="A12">
        <v>1710</v>
      </c>
      <c r="B12">
        <v>2081</v>
      </c>
      <c r="C12">
        <v>20080</v>
      </c>
      <c r="D12">
        <v>131630</v>
      </c>
      <c r="E12">
        <v>184</v>
      </c>
      <c r="F12" s="24">
        <v>1.1100000000000001</v>
      </c>
      <c r="G12" s="24">
        <v>1.0675909216556283</v>
      </c>
      <c r="H12" s="24">
        <v>1.2492581014784339</v>
      </c>
      <c r="I12" s="25">
        <f t="shared" si="1"/>
        <v>21437.225706845016</v>
      </c>
      <c r="J12" s="25">
        <f t="shared" si="2"/>
        <v>164439.84389760625</v>
      </c>
      <c r="R12" s="25">
        <f>300*(Population!AE13+Population!AG13)</f>
        <v>789677.5874755549</v>
      </c>
      <c r="S12" s="25">
        <f>300*(Population!V13-Population!AE13)</f>
        <v>1046661.6951154924</v>
      </c>
      <c r="T12">
        <f>17000*'Agricultural production'!X13</f>
        <v>1309000</v>
      </c>
      <c r="U12" s="25">
        <f t="shared" si="3"/>
        <v>3145339.2825910477</v>
      </c>
      <c r="Z12" s="25">
        <f t="shared" si="4"/>
        <v>3556579.8000000003</v>
      </c>
      <c r="AC12" s="25">
        <f t="shared" si="0"/>
        <v>1593523.2232376582</v>
      </c>
      <c r="AD12" s="30">
        <f t="shared" si="5"/>
        <v>2110795.2430221215</v>
      </c>
      <c r="AE12" s="33"/>
      <c r="AF12" s="24">
        <v>1.88081164038269</v>
      </c>
      <c r="AG12" s="24">
        <v>2.1315316042089303</v>
      </c>
      <c r="AH12">
        <v>1752</v>
      </c>
      <c r="AI12" s="24">
        <v>1.7834504713510972</v>
      </c>
    </row>
    <row r="13" spans="1:35" x14ac:dyDescent="0.2">
      <c r="A13">
        <v>1711</v>
      </c>
      <c r="B13">
        <v>2253</v>
      </c>
      <c r="C13">
        <v>20743</v>
      </c>
      <c r="D13">
        <v>116256</v>
      </c>
      <c r="E13">
        <v>250</v>
      </c>
      <c r="F13" s="24">
        <v>1.1000000000000001</v>
      </c>
      <c r="G13" s="24">
        <v>1.0631785045767213</v>
      </c>
      <c r="H13" s="24">
        <v>1.1709854823375274</v>
      </c>
      <c r="I13" s="25">
        <f t="shared" si="1"/>
        <v>22053.51172043493</v>
      </c>
      <c r="J13" s="25">
        <f t="shared" si="2"/>
        <v>136134.08823463158</v>
      </c>
      <c r="R13" s="25">
        <f>300*(Population!AE14+Population!AG14)</f>
        <v>765172.34518542793</v>
      </c>
      <c r="S13" s="25">
        <f>300*(Population!V14-Population!AE14)</f>
        <v>1034136.4066335871</v>
      </c>
      <c r="T13">
        <f>17000*'Agricultural production'!X14</f>
        <v>1241000</v>
      </c>
      <c r="U13" s="25">
        <f t="shared" si="3"/>
        <v>3040308.751819015</v>
      </c>
      <c r="Z13" s="25">
        <f t="shared" si="4"/>
        <v>3235040.16</v>
      </c>
      <c r="AC13" s="25">
        <f t="shared" si="0"/>
        <v>1361856.1072032109</v>
      </c>
      <c r="AD13" s="30">
        <f t="shared" si="5"/>
        <v>1921340.3220751456</v>
      </c>
      <c r="AE13" s="33"/>
      <c r="AF13" s="24">
        <v>2.1410717985514673</v>
      </c>
      <c r="AG13" s="24">
        <v>2.0035614493506362</v>
      </c>
      <c r="AH13">
        <v>1757</v>
      </c>
      <c r="AI13" s="24">
        <v>1.3859871787523546</v>
      </c>
    </row>
    <row r="14" spans="1:35" x14ac:dyDescent="0.2">
      <c r="A14">
        <v>1712</v>
      </c>
      <c r="B14">
        <v>2256</v>
      </c>
      <c r="C14">
        <v>17484</v>
      </c>
      <c r="D14">
        <v>120941</v>
      </c>
      <c r="E14">
        <v>230</v>
      </c>
      <c r="F14" s="24">
        <v>1.0900000000000001</v>
      </c>
      <c r="G14" s="24">
        <v>1.0587843242812893</v>
      </c>
      <c r="H14" s="24">
        <v>1.0976170562532255</v>
      </c>
      <c r="I14" s="25">
        <f t="shared" si="1"/>
        <v>18511.785125734063</v>
      </c>
      <c r="J14" s="25">
        <f t="shared" si="2"/>
        <v>132746.90440032133</v>
      </c>
      <c r="R14" s="25">
        <f>300*(Population!AE15+Population!AG15)</f>
        <v>727578.00644378306</v>
      </c>
      <c r="S14" s="25">
        <f>300*(Population!V15-Population!AE15)</f>
        <v>1107476.1336107294</v>
      </c>
      <c r="T14">
        <f>17000*'Agricultural production'!X15</f>
        <v>1139000</v>
      </c>
      <c r="U14" s="25">
        <f t="shared" si="3"/>
        <v>2974054.1400545123</v>
      </c>
      <c r="Z14" s="25">
        <f t="shared" si="4"/>
        <v>3237647.46</v>
      </c>
      <c r="AC14" s="25">
        <f t="shared" si="0"/>
        <v>1298340.6697074666</v>
      </c>
      <c r="AD14" s="30">
        <f t="shared" si="5"/>
        <v>1856911.8264898153</v>
      </c>
      <c r="AE14" s="33"/>
      <c r="AF14" s="24">
        <v>2.14810887611781</v>
      </c>
      <c r="AG14" s="24">
        <v>2.2375870635354067</v>
      </c>
      <c r="AH14">
        <v>1762</v>
      </c>
      <c r="AI14" s="24">
        <v>1.2731884961035511</v>
      </c>
    </row>
    <row r="15" spans="1:35" x14ac:dyDescent="0.2">
      <c r="A15">
        <v>1713</v>
      </c>
      <c r="B15">
        <v>2146</v>
      </c>
      <c r="C15">
        <v>17559</v>
      </c>
      <c r="D15">
        <v>120720</v>
      </c>
      <c r="E15">
        <v>197</v>
      </c>
      <c r="F15" s="24">
        <v>1.0531755659843354</v>
      </c>
      <c r="G15" s="24">
        <v>1.0473986778537838</v>
      </c>
      <c r="H15" s="24">
        <v>1.0770910387294514</v>
      </c>
      <c r="I15" s="25">
        <f t="shared" si="1"/>
        <v>18391.273384434589</v>
      </c>
      <c r="J15" s="25">
        <f t="shared" si="2"/>
        <v>130026.43019541938</v>
      </c>
      <c r="R15" s="25">
        <f>300*(Population!AE16+Population!AG16)</f>
        <v>724469.28406291595</v>
      </c>
      <c r="S15" s="25">
        <f>300*(Population!V16-Population!AE16)</f>
        <v>1041798.7447324154</v>
      </c>
      <c r="T15">
        <f>17000*'Agricultural production'!X16</f>
        <v>1122000</v>
      </c>
      <c r="U15" s="25">
        <f t="shared" si="3"/>
        <v>2888268.0287953313</v>
      </c>
      <c r="Z15" s="25">
        <f t="shared" si="4"/>
        <v>3235068</v>
      </c>
      <c r="AC15" s="25">
        <f t="shared" si="0"/>
        <v>1274295.6201474254</v>
      </c>
      <c r="AD15" s="30">
        <f t="shared" si="5"/>
        <v>1812286.4230300607</v>
      </c>
      <c r="AE15" s="33"/>
      <c r="AF15" s="24">
        <v>3.1695730099892563</v>
      </c>
      <c r="AG15" s="24">
        <v>2.6876203010455102</v>
      </c>
      <c r="AH15">
        <v>1773</v>
      </c>
      <c r="AI15" s="24">
        <v>2.0881198194493322</v>
      </c>
    </row>
    <row r="16" spans="1:35" x14ac:dyDescent="0.2">
      <c r="A16">
        <v>1714</v>
      </c>
      <c r="B16">
        <v>2176</v>
      </c>
      <c r="C16">
        <v>16557</v>
      </c>
      <c r="D16">
        <v>120208</v>
      </c>
      <c r="E16">
        <v>289</v>
      </c>
      <c r="F16" s="24">
        <v>1.0175952043912158</v>
      </c>
      <c r="G16" s="24">
        <v>1.0361354670740295</v>
      </c>
      <c r="H16" s="24">
        <v>1.0569488685529704</v>
      </c>
      <c r="I16" s="25">
        <f t="shared" si="1"/>
        <v>17155.294928344705</v>
      </c>
      <c r="J16" s="25">
        <f t="shared" si="2"/>
        <v>127053.70959101547</v>
      </c>
      <c r="R16" s="25">
        <f>300*(Population!AE17+Population!AG17)</f>
        <v>699142.41515177162</v>
      </c>
      <c r="S16" s="25">
        <f>300*(Population!V17-Population!AE17)</f>
        <v>1023630.722035478</v>
      </c>
      <c r="T16">
        <f>17000*'Agricultural production'!X17</f>
        <v>1088000</v>
      </c>
      <c r="U16" s="25">
        <f t="shared" si="3"/>
        <v>2810773.1371872495</v>
      </c>
      <c r="Z16" s="25">
        <f t="shared" si="4"/>
        <v>3192408.48</v>
      </c>
      <c r="AC16" s="25">
        <f t="shared" si="0"/>
        <v>1237088.5803551425</v>
      </c>
      <c r="AD16" s="30">
        <f t="shared" si="5"/>
        <v>1761650.0992991782</v>
      </c>
      <c r="AE16" s="33"/>
    </row>
    <row r="17" spans="1:31" x14ac:dyDescent="0.2">
      <c r="A17">
        <v>1715</v>
      </c>
      <c r="B17">
        <v>1894</v>
      </c>
      <c r="C17">
        <v>15085</v>
      </c>
      <c r="D17">
        <v>97631</v>
      </c>
      <c r="E17">
        <v>237</v>
      </c>
      <c r="F17" s="24">
        <v>0.98321688562171006</v>
      </c>
      <c r="G17" s="24">
        <v>1.0249933753292249</v>
      </c>
      <c r="H17" s="24">
        <v>1.037183367576056</v>
      </c>
      <c r="I17" s="25">
        <f t="shared" si="1"/>
        <v>15462.025066841357</v>
      </c>
      <c r="J17" s="25">
        <f t="shared" si="2"/>
        <v>101261.24935981793</v>
      </c>
      <c r="R17" s="25">
        <f>300*(Population!AE18+Population!AG18)</f>
        <v>830365.70202977478</v>
      </c>
      <c r="S17" s="25">
        <f>300*(Population!V18-Population!AE18)</f>
        <v>1132398.6301734259</v>
      </c>
      <c r="T17">
        <f>17000*'Agricultural production'!X18</f>
        <v>1394000</v>
      </c>
      <c r="U17" s="25">
        <f t="shared" si="3"/>
        <v>3356764.332203201</v>
      </c>
      <c r="Z17" s="25">
        <f t="shared" si="4"/>
        <v>2643918.06</v>
      </c>
      <c r="AC17" s="25">
        <f t="shared" si="0"/>
        <v>1003668.5427842002</v>
      </c>
      <c r="AD17" s="30">
        <f t="shared" si="5"/>
        <v>1788033.805923867</v>
      </c>
      <c r="AE17" s="33"/>
    </row>
    <row r="18" spans="1:31" x14ac:dyDescent="0.2">
      <c r="A18">
        <v>1716</v>
      </c>
      <c r="B18">
        <v>2325</v>
      </c>
      <c r="C18">
        <v>16575</v>
      </c>
      <c r="D18">
        <v>78819</v>
      </c>
      <c r="E18">
        <v>403</v>
      </c>
      <c r="F18" s="24">
        <v>0.95</v>
      </c>
      <c r="G18" s="24">
        <v>1.0139711001647753</v>
      </c>
      <c r="H18" s="24">
        <v>1.0177874918861274</v>
      </c>
      <c r="I18" s="25">
        <f t="shared" si="1"/>
        <v>16806.570985231152</v>
      </c>
      <c r="J18" s="25">
        <f t="shared" si="2"/>
        <v>80220.99232297267</v>
      </c>
      <c r="R18" s="25">
        <f>300*(Population!AE19+Population!AG19)</f>
        <v>783507.88507215434</v>
      </c>
      <c r="S18" s="25">
        <f>300*(Population!V19-Population!AE19)</f>
        <v>1194204.8054862455</v>
      </c>
      <c r="T18">
        <f>17000*'Agricultural production'!X19</f>
        <v>1122000</v>
      </c>
      <c r="U18" s="25">
        <f t="shared" si="3"/>
        <v>3099712.6905584</v>
      </c>
      <c r="Z18" s="25">
        <f t="shared" si="4"/>
        <v>2271650.94</v>
      </c>
      <c r="AC18" s="25">
        <f t="shared" si="0"/>
        <v>840241.38826675888</v>
      </c>
      <c r="AD18" s="30">
        <f t="shared" si="5"/>
        <v>1593398.4890306394</v>
      </c>
      <c r="AE18" s="33"/>
    </row>
    <row r="19" spans="1:31" x14ac:dyDescent="0.2">
      <c r="A19">
        <v>1717</v>
      </c>
      <c r="B19">
        <v>2356</v>
      </c>
      <c r="C19">
        <v>15298</v>
      </c>
      <c r="D19">
        <v>62200</v>
      </c>
      <c r="E19">
        <v>556</v>
      </c>
      <c r="F19" s="24">
        <v>0.98842486657941642</v>
      </c>
      <c r="G19" s="24">
        <v>1.0848982984965758</v>
      </c>
      <c r="H19" s="24">
        <v>1.0842911224353944</v>
      </c>
      <c r="I19" s="25">
        <f t="shared" si="1"/>
        <v>16596.774170400618</v>
      </c>
      <c r="J19" s="25">
        <f t="shared" si="2"/>
        <v>67442.907815481536</v>
      </c>
      <c r="R19" s="25">
        <f>300*(Population!AE20+Population!AG20)</f>
        <v>882581.90187503269</v>
      </c>
      <c r="S19" s="25">
        <f>300*(Population!V20-Population!AE20)</f>
        <v>1217865.7361629112</v>
      </c>
      <c r="T19">
        <f>17000*'Agricultural production'!X20</f>
        <v>1513000</v>
      </c>
      <c r="U19" s="25">
        <f t="shared" si="3"/>
        <v>3613447.6380379437</v>
      </c>
      <c r="Z19" s="25">
        <f t="shared" si="4"/>
        <v>1861869.6</v>
      </c>
      <c r="AC19" s="25">
        <f t="shared" si="0"/>
        <v>730828.48993701104</v>
      </c>
      <c r="AD19" s="30">
        <f t="shared" si="5"/>
        <v>1691701.5393039885</v>
      </c>
      <c r="AE19" s="33"/>
    </row>
    <row r="20" spans="1:31" x14ac:dyDescent="0.2">
      <c r="A20">
        <v>1718</v>
      </c>
      <c r="B20">
        <v>2548</v>
      </c>
      <c r="C20">
        <v>16202</v>
      </c>
      <c r="D20">
        <v>64381</v>
      </c>
      <c r="E20">
        <v>867</v>
      </c>
      <c r="F20" s="24">
        <v>1.0284039124974078</v>
      </c>
      <c r="G20" s="24">
        <v>1.160786848746967</v>
      </c>
      <c r="H20" s="24">
        <v>1.1551401914101598</v>
      </c>
      <c r="I20" s="25">
        <f t="shared" si="1"/>
        <v>18807.06852339836</v>
      </c>
      <c r="J20" s="25">
        <f t="shared" si="2"/>
        <v>74369.08066317749</v>
      </c>
      <c r="R20" s="25">
        <f>300*(Population!AE21+Population!AG21)</f>
        <v>875214.83854336606</v>
      </c>
      <c r="S20" s="25">
        <f>300*(Population!V21-Population!AE21)</f>
        <v>1257516.4064325648</v>
      </c>
      <c r="T20">
        <f>17000*'Agricultural production'!X21</f>
        <v>1496000</v>
      </c>
      <c r="U20" s="25">
        <f t="shared" si="3"/>
        <v>3628731.244975931</v>
      </c>
      <c r="Z20" s="25">
        <f t="shared" si="4"/>
        <v>1938623.46</v>
      </c>
      <c r="AC20" s="25">
        <f t="shared" si="0"/>
        <v>810890.25595233473</v>
      </c>
      <c r="AD20" s="30">
        <f t="shared" si="5"/>
        <v>1750170.5856268667</v>
      </c>
      <c r="AE20" s="33"/>
    </row>
    <row r="21" spans="1:31" x14ac:dyDescent="0.2">
      <c r="A21">
        <v>1719</v>
      </c>
      <c r="B21">
        <v>1586</v>
      </c>
      <c r="C21">
        <v>15827</v>
      </c>
      <c r="D21">
        <v>66965</v>
      </c>
      <c r="E21">
        <v>1069</v>
      </c>
      <c r="F21" s="24">
        <v>1.0700000000000003</v>
      </c>
      <c r="G21" s="24">
        <v>1.2419837970906054</v>
      </c>
      <c r="H21" s="24">
        <v>1.2306186357166318</v>
      </c>
      <c r="I21" s="25">
        <f t="shared" si="1"/>
        <v>19656.877556553012</v>
      </c>
      <c r="J21" s="25">
        <f t="shared" si="2"/>
        <v>82408.376940764239</v>
      </c>
      <c r="R21" s="25">
        <f>300*(Population!AE22+Population!AG22)</f>
        <v>926542.51518365159</v>
      </c>
      <c r="S21" s="25">
        <f>300*(Population!V22-Population!AE22)</f>
        <v>1274378.9215144988</v>
      </c>
      <c r="T21">
        <f>17000*'Agricultural production'!X22</f>
        <v>1530000</v>
      </c>
      <c r="U21" s="25">
        <f t="shared" si="3"/>
        <v>3730921.4366981508</v>
      </c>
      <c r="Z21" s="25">
        <f t="shared" si="4"/>
        <v>1984443.3</v>
      </c>
      <c r="AC21" s="25">
        <f t="shared" si="0"/>
        <v>886833.45411229448</v>
      </c>
      <c r="AD21" s="30">
        <f t="shared" si="5"/>
        <v>1834862.7816409133</v>
      </c>
      <c r="AE21" s="33"/>
    </row>
    <row r="22" spans="1:31" x14ac:dyDescent="0.2">
      <c r="A22">
        <v>1720</v>
      </c>
      <c r="B22">
        <v>1143</v>
      </c>
      <c r="C22">
        <v>16262</v>
      </c>
      <c r="D22">
        <v>67104</v>
      </c>
      <c r="E22">
        <v>872</v>
      </c>
      <c r="F22" s="24">
        <v>1.1168343515619243</v>
      </c>
      <c r="G22" s="24">
        <v>1.238842490656314</v>
      </c>
      <c r="H22" s="24">
        <v>1.3350491557296835</v>
      </c>
      <c r="I22" s="25">
        <f t="shared" si="1"/>
        <v>20146.056583052978</v>
      </c>
      <c r="J22" s="25">
        <f t="shared" si="2"/>
        <v>89587.13854608468</v>
      </c>
      <c r="R22" s="25">
        <f>300*(Population!AE23+Population!AG23)</f>
        <v>939288.77549213008</v>
      </c>
      <c r="S22" s="25">
        <f>300*(Population!V23-Population!AE23)</f>
        <v>1271531.8464932302</v>
      </c>
      <c r="T22">
        <f>17000*'Agricultural production'!X23</f>
        <v>1479000</v>
      </c>
      <c r="U22" s="25">
        <f t="shared" si="3"/>
        <v>3689820.62198536</v>
      </c>
      <c r="Z22" s="25">
        <f t="shared" si="4"/>
        <v>2001109.44</v>
      </c>
      <c r="AC22" s="25">
        <f t="shared" si="0"/>
        <v>951977.92395933578</v>
      </c>
      <c r="AD22" s="30">
        <f t="shared" si="5"/>
        <v>1864592.1566346772</v>
      </c>
      <c r="AE22" s="33"/>
    </row>
    <row r="23" spans="1:31" x14ac:dyDescent="0.2">
      <c r="A23">
        <v>1721</v>
      </c>
      <c r="B23">
        <v>1304</v>
      </c>
      <c r="C23">
        <v>16292</v>
      </c>
      <c r="D23">
        <v>68130</v>
      </c>
      <c r="E23">
        <v>907</v>
      </c>
      <c r="F23" s="24">
        <v>1.1657186624567699</v>
      </c>
      <c r="G23" s="24">
        <v>1.2357091294191631</v>
      </c>
      <c r="H23" s="24">
        <v>1.4483416685597423</v>
      </c>
      <c r="I23" s="25">
        <f t="shared" si="1"/>
        <v>20132.173136497004</v>
      </c>
      <c r="J23" s="25">
        <f t="shared" si="2"/>
        <v>98675.517878975239</v>
      </c>
      <c r="R23" s="25">
        <f>300*(Population!AE24+Population!AG24)</f>
        <v>1009824.2891432614</v>
      </c>
      <c r="S23" s="25">
        <f>300*(Population!V24-Population!AE24)</f>
        <v>1314609.149914006</v>
      </c>
      <c r="T23">
        <f>17000*'Agricultural production'!X24</f>
        <v>1768000</v>
      </c>
      <c r="U23" s="25">
        <f t="shared" si="3"/>
        <v>4092433.4390572673</v>
      </c>
      <c r="Z23" s="25">
        <f t="shared" si="4"/>
        <v>2024884.2</v>
      </c>
      <c r="AC23" s="25">
        <f t="shared" si="0"/>
        <v>1028182.8642347124</v>
      </c>
      <c r="AD23" s="30">
        <f t="shared" si="5"/>
        <v>2049599.7225088973</v>
      </c>
      <c r="AE23" s="33"/>
    </row>
    <row r="24" spans="1:31" x14ac:dyDescent="0.2">
      <c r="A24">
        <v>1722</v>
      </c>
      <c r="B24">
        <v>1428</v>
      </c>
      <c r="C24">
        <v>15336</v>
      </c>
      <c r="D24">
        <v>66593</v>
      </c>
      <c r="E24">
        <v>820</v>
      </c>
      <c r="F24" s="24">
        <v>1.2167426602696636</v>
      </c>
      <c r="G24" s="24">
        <v>1.2325836932836429</v>
      </c>
      <c r="H24" s="24">
        <v>1.5712482045201583</v>
      </c>
      <c r="I24" s="25">
        <f t="shared" si="1"/>
        <v>18902.90352019795</v>
      </c>
      <c r="J24" s="25">
        <f t="shared" si="2"/>
        <v>104634.1316836109</v>
      </c>
      <c r="R24" s="25">
        <f>300*(Population!AE25+Population!AG25)</f>
        <v>982186.94919484435</v>
      </c>
      <c r="S24" s="25">
        <f>300*(Population!V25-Population!AE25)</f>
        <v>1392909.454726185</v>
      </c>
      <c r="T24">
        <f>17000*'Agricultural production'!X25</f>
        <v>1717000</v>
      </c>
      <c r="U24" s="25">
        <f t="shared" si="3"/>
        <v>4092096.4039210291</v>
      </c>
      <c r="Z24" s="25">
        <f t="shared" si="4"/>
        <v>1960843.38</v>
      </c>
      <c r="AC24" s="25">
        <f t="shared" si="0"/>
        <v>1066065.4509922913</v>
      </c>
      <c r="AD24" s="30">
        <f t="shared" si="5"/>
        <v>2074742.4353018708</v>
      </c>
      <c r="AE24" s="33"/>
    </row>
    <row r="25" spans="1:31" x14ac:dyDescent="0.2">
      <c r="A25">
        <v>1723</v>
      </c>
      <c r="B25">
        <v>1753</v>
      </c>
      <c r="C25">
        <v>21888</v>
      </c>
      <c r="D25">
        <v>88837</v>
      </c>
      <c r="E25">
        <v>1181</v>
      </c>
      <c r="F25" s="24">
        <v>1.27</v>
      </c>
      <c r="G25" s="24">
        <v>1.2294661622050689</v>
      </c>
      <c r="H25" s="24">
        <v>1.7045846113526943</v>
      </c>
      <c r="I25" s="25">
        <f t="shared" si="1"/>
        <v>26910.555358344547</v>
      </c>
      <c r="J25" s="25">
        <f t="shared" si="2"/>
        <v>151430.18311873931</v>
      </c>
      <c r="R25" s="25">
        <f>300*(Population!AE26+Population!AG26)</f>
        <v>1003362.4623724002</v>
      </c>
      <c r="S25" s="25">
        <f>300*(Population!V26-Population!AE26)</f>
        <v>1471690.9176040313</v>
      </c>
      <c r="T25">
        <f>17000*'Agricultural production'!X26</f>
        <v>1632000</v>
      </c>
      <c r="U25" s="25">
        <f t="shared" si="3"/>
        <v>4107053.3799764314</v>
      </c>
      <c r="Z25" s="25">
        <f t="shared" si="4"/>
        <v>2660417.2200000002</v>
      </c>
      <c r="AC25" s="25">
        <f t="shared" si="0"/>
        <v>1538428.0362450213</v>
      </c>
      <c r="AD25" s="30">
        <f t="shared" si="5"/>
        <v>2394636.4841554915</v>
      </c>
      <c r="AE25" s="33"/>
    </row>
    <row r="26" spans="1:31" x14ac:dyDescent="0.2">
      <c r="A26">
        <v>1724</v>
      </c>
      <c r="B26">
        <v>1881</v>
      </c>
      <c r="C26">
        <v>19204</v>
      </c>
      <c r="D26">
        <v>87122</v>
      </c>
      <c r="E26">
        <v>991</v>
      </c>
      <c r="F26" s="24">
        <v>1.2761449236308409</v>
      </c>
      <c r="G26" s="24">
        <v>1.264280519086262</v>
      </c>
      <c r="H26" s="24">
        <v>1.6813605590037775</v>
      </c>
      <c r="I26" s="25">
        <f t="shared" si="1"/>
        <v>24279.243088532578</v>
      </c>
      <c r="J26" s="25">
        <f t="shared" si="2"/>
        <v>146483.49462152709</v>
      </c>
      <c r="R26" s="25">
        <f>300*(Population!AE27+Population!AG27)</f>
        <v>992665.92748210591</v>
      </c>
      <c r="S26" s="25">
        <f>300*(Population!V27-Population!AE27)</f>
        <v>1591748.8928903195</v>
      </c>
      <c r="T26">
        <f>17000*'Agricultural production'!X27</f>
        <v>1496000</v>
      </c>
      <c r="U26" s="25">
        <f t="shared" si="3"/>
        <v>4080414.820372425</v>
      </c>
      <c r="Z26" s="25">
        <f t="shared" si="4"/>
        <v>2538500.52</v>
      </c>
      <c r="AC26" s="25">
        <f t="shared" si="0"/>
        <v>1470825.8613973001</v>
      </c>
      <c r="AD26" s="30">
        <f t="shared" si="5"/>
        <v>2340688.8477223418</v>
      </c>
      <c r="AE26" s="33"/>
    </row>
    <row r="27" spans="1:31" x14ac:dyDescent="0.2">
      <c r="A27">
        <v>1725</v>
      </c>
      <c r="B27">
        <v>2069</v>
      </c>
      <c r="C27">
        <v>20779</v>
      </c>
      <c r="D27">
        <v>90429</v>
      </c>
      <c r="E27">
        <v>879</v>
      </c>
      <c r="F27" s="24">
        <v>1.2823195796132003</v>
      </c>
      <c r="G27" s="24">
        <v>1.3000807017529141</v>
      </c>
      <c r="H27" s="24">
        <v>1.658452921929241</v>
      </c>
      <c r="I27" s="25">
        <f t="shared" si="1"/>
        <v>27014.376901723801</v>
      </c>
      <c r="J27" s="25">
        <f t="shared" si="2"/>
        <v>149972.23927713934</v>
      </c>
      <c r="R27" s="25">
        <f>300*(Population!AE28+Population!AG28)</f>
        <v>980852.05761478154</v>
      </c>
      <c r="S27" s="25">
        <f>300*(Population!V28-Population!AE28)</f>
        <v>1644449.1438414515</v>
      </c>
      <c r="T27">
        <f>17000*'Agricultural production'!X28</f>
        <v>1241000</v>
      </c>
      <c r="U27" s="25">
        <f t="shared" si="3"/>
        <v>3866301.2014562329</v>
      </c>
      <c r="Z27" s="25">
        <f t="shared" si="4"/>
        <v>2661254.34</v>
      </c>
      <c r="AC27" s="25">
        <f t="shared" si="0"/>
        <v>1527209.141255036</v>
      </c>
      <c r="AD27" s="30">
        <f t="shared" si="5"/>
        <v>2306906.494655435</v>
      </c>
      <c r="AE27" s="33"/>
    </row>
    <row r="28" spans="1:31" x14ac:dyDescent="0.2">
      <c r="A28">
        <v>1726</v>
      </c>
      <c r="B28">
        <v>2174</v>
      </c>
      <c r="C28">
        <v>19637</v>
      </c>
      <c r="D28">
        <v>90372</v>
      </c>
      <c r="E28">
        <v>808</v>
      </c>
      <c r="F28" s="24">
        <v>1.288524111807732</v>
      </c>
      <c r="G28" s="24">
        <v>1.3368946254838454</v>
      </c>
      <c r="H28" s="24">
        <v>1.635857389140444</v>
      </c>
      <c r="I28" s="25">
        <f t="shared" si="1"/>
        <v>26252.599760626272</v>
      </c>
      <c r="J28" s="25">
        <f t="shared" si="2"/>
        <v>147835.70397140022</v>
      </c>
      <c r="R28" s="25">
        <f>300*(Population!AE29+Population!AG29)</f>
        <v>1080393.1845754082</v>
      </c>
      <c r="S28" s="25">
        <f>300*(Population!V29-Population!AE29)</f>
        <v>1724196.6539711745</v>
      </c>
      <c r="T28">
        <f>17000*'Agricultural production'!X29</f>
        <v>1496000</v>
      </c>
      <c r="U28" s="25">
        <f t="shared" si="3"/>
        <v>4300589.8385465834</v>
      </c>
      <c r="Z28" s="25">
        <f t="shared" si="4"/>
        <v>2624355.12</v>
      </c>
      <c r="AC28" s="25">
        <f t="shared" si="0"/>
        <v>1501720.650989962</v>
      </c>
      <c r="AD28" s="30">
        <f t="shared" si="5"/>
        <v>2434677.046842169</v>
      </c>
      <c r="AE28" s="33"/>
    </row>
    <row r="29" spans="1:31" x14ac:dyDescent="0.2">
      <c r="A29">
        <v>1727</v>
      </c>
      <c r="B29">
        <v>2399</v>
      </c>
      <c r="C29">
        <v>19966</v>
      </c>
      <c r="D29">
        <v>93818</v>
      </c>
      <c r="E29">
        <v>694</v>
      </c>
      <c r="F29" s="24">
        <v>1.2947586647711613</v>
      </c>
      <c r="G29" s="24">
        <v>1.3747509960249167</v>
      </c>
      <c r="H29" s="24">
        <v>1.6135697083836575</v>
      </c>
      <c r="I29" s="25">
        <f t="shared" si="1"/>
        <v>27448.278386633487</v>
      </c>
      <c r="J29" s="25">
        <f t="shared" si="2"/>
        <v>151381.88290113799</v>
      </c>
      <c r="R29" s="25">
        <f>300*(Population!AE30+Population!AG30)</f>
        <v>1078963.3576158143</v>
      </c>
      <c r="S29" s="25">
        <f>300*(Population!V30-Population!AE30)</f>
        <v>1797071.045427077</v>
      </c>
      <c r="T29">
        <f>17000*'Agricultural production'!X30</f>
        <v>1411000</v>
      </c>
      <c r="U29" s="25">
        <f t="shared" si="3"/>
        <v>4287034.4030428911</v>
      </c>
      <c r="Z29" s="25">
        <f t="shared" si="4"/>
        <v>2711327.88</v>
      </c>
      <c r="AC29" s="25">
        <f t="shared" si="0"/>
        <v>1543345.7723972306</v>
      </c>
      <c r="AD29" s="30">
        <f t="shared" si="5"/>
        <v>2457908.6492791176</v>
      </c>
      <c r="AE29" s="33"/>
    </row>
    <row r="30" spans="1:31" x14ac:dyDescent="0.2">
      <c r="A30">
        <v>1728</v>
      </c>
      <c r="B30">
        <v>2611</v>
      </c>
      <c r="C30">
        <v>21083</v>
      </c>
      <c r="D30">
        <v>97570</v>
      </c>
      <c r="E30">
        <v>634</v>
      </c>
      <c r="F30" s="24">
        <v>1.3010233837596561</v>
      </c>
      <c r="G30" s="24">
        <v>1.4136793319724041</v>
      </c>
      <c r="H30" s="24">
        <v>1.5915856853398318</v>
      </c>
      <c r="I30" s="25">
        <f t="shared" si="1"/>
        <v>29804.601355974195</v>
      </c>
      <c r="J30" s="25">
        <f t="shared" si="2"/>
        <v>155291.01531860739</v>
      </c>
      <c r="R30" s="25">
        <f>300*(Population!AE31+Population!AG31)</f>
        <v>1073708.781517925</v>
      </c>
      <c r="S30" s="25">
        <f>300*(Population!V31-Population!AE31)</f>
        <v>1801434.4771751368</v>
      </c>
      <c r="T30">
        <f>17000*'Agricultural production'!X31</f>
        <v>1377000</v>
      </c>
      <c r="U30" s="25">
        <f t="shared" si="3"/>
        <v>4252143.2586930618</v>
      </c>
      <c r="Z30" s="25">
        <f t="shared" si="4"/>
        <v>2829697.8000000003</v>
      </c>
      <c r="AC30" s="25">
        <f t="shared" si="0"/>
        <v>1599510.0821004468</v>
      </c>
      <c r="AD30" s="30">
        <f t="shared" si="5"/>
        <v>2483721.1409646519</v>
      </c>
      <c r="AE30" s="33"/>
    </row>
    <row r="31" spans="1:31" x14ac:dyDescent="0.2">
      <c r="A31">
        <v>1729</v>
      </c>
      <c r="B31">
        <v>2877</v>
      </c>
      <c r="C31">
        <v>19033</v>
      </c>
      <c r="D31">
        <v>92178</v>
      </c>
      <c r="E31">
        <v>548</v>
      </c>
      <c r="F31" s="24">
        <v>1.3073184147322079</v>
      </c>
      <c r="G31" s="24">
        <v>1.4537099877901971</v>
      </c>
      <c r="H31" s="24">
        <v>1.5699011828352678</v>
      </c>
      <c r="I31" s="25">
        <f t="shared" si="1"/>
        <v>27668.462197610821</v>
      </c>
      <c r="J31" s="25">
        <f t="shared" si="2"/>
        <v>144710.35123138933</v>
      </c>
      <c r="R31" s="25">
        <f>300*(Population!AE32+Population!AG32)</f>
        <v>1080029.989621978</v>
      </c>
      <c r="S31" s="25">
        <f>300*(Population!V32-Population!AE32)</f>
        <v>1804783.6472853124</v>
      </c>
      <c r="T31">
        <f>17000*'Agricultural production'!X32</f>
        <v>1377000</v>
      </c>
      <c r="U31" s="25">
        <f t="shared" si="3"/>
        <v>4261813.6369072907</v>
      </c>
      <c r="Z31" s="25">
        <f t="shared" si="4"/>
        <v>2645711.8800000004</v>
      </c>
      <c r="AC31" s="25">
        <f t="shared" si="0"/>
        <v>1489484.7261000173</v>
      </c>
      <c r="AD31" s="30">
        <f t="shared" si="5"/>
        <v>2413594.3630357753</v>
      </c>
      <c r="AE31" s="33"/>
    </row>
    <row r="32" spans="1:31" x14ac:dyDescent="0.2">
      <c r="A32">
        <v>1730</v>
      </c>
      <c r="B32">
        <v>3164</v>
      </c>
      <c r="C32">
        <v>22107</v>
      </c>
      <c r="D32">
        <v>116822</v>
      </c>
      <c r="E32">
        <v>736</v>
      </c>
      <c r="F32" s="24">
        <v>1.313643904354036</v>
      </c>
      <c r="G32" s="24">
        <v>1.4948741774787633</v>
      </c>
      <c r="H32" s="24">
        <v>1.5485121200630421</v>
      </c>
      <c r="I32" s="25">
        <f t="shared" si="1"/>
        <v>33047.183441523019</v>
      </c>
      <c r="J32" s="25">
        <f t="shared" si="2"/>
        <v>180900.28289000469</v>
      </c>
      <c r="R32" s="25">
        <f>300*(Population!AE33+Population!AG33)</f>
        <v>1097199.4352320037</v>
      </c>
      <c r="S32" s="25">
        <f>300*(Population!V33-Population!AE33)</f>
        <v>1878705.9291157702</v>
      </c>
      <c r="T32">
        <f>17000*'Agricultural production'!X33</f>
        <v>1139000</v>
      </c>
      <c r="U32" s="25">
        <f t="shared" si="3"/>
        <v>4114905.3643477741</v>
      </c>
      <c r="Z32" s="25">
        <f t="shared" si="4"/>
        <v>3290196.12</v>
      </c>
      <c r="AC32" s="25">
        <f t="shared" si="0"/>
        <v>1846729.4923471175</v>
      </c>
      <c r="AD32" s="30">
        <f t="shared" si="5"/>
        <v>2602788.1163473367</v>
      </c>
      <c r="AE32" s="33"/>
    </row>
    <row r="33" spans="1:31" x14ac:dyDescent="0.2">
      <c r="A33">
        <v>1731</v>
      </c>
      <c r="B33">
        <v>3471</v>
      </c>
      <c r="C33">
        <v>24141</v>
      </c>
      <c r="D33">
        <v>123972</v>
      </c>
      <c r="E33">
        <v>859</v>
      </c>
      <c r="F33" s="24">
        <v>1.3200000000000005</v>
      </c>
      <c r="G33" s="24">
        <v>1.5372039989143411</v>
      </c>
      <c r="H33" s="24">
        <v>1.5274144718150402</v>
      </c>
      <c r="I33" s="25">
        <f t="shared" si="1"/>
        <v>37109.641737791106</v>
      </c>
      <c r="J33" s="25">
        <f t="shared" si="2"/>
        <v>189356.62689985416</v>
      </c>
      <c r="R33" s="25">
        <f>300*(Population!AE34+Population!AG34)</f>
        <v>1137222.5825203669</v>
      </c>
      <c r="S33" s="25">
        <f>300*(Population!V34-Population!AE34)</f>
        <v>1958459.2857529609</v>
      </c>
      <c r="T33">
        <f>17000*'Agricultural production'!X34</f>
        <v>1411000</v>
      </c>
      <c r="U33" s="25">
        <f t="shared" si="3"/>
        <v>4506681.8682733281</v>
      </c>
      <c r="Z33" s="25">
        <f t="shared" si="4"/>
        <v>3512815.92</v>
      </c>
      <c r="AC33" s="25">
        <f t="shared" si="0"/>
        <v>1957981.1191629071</v>
      </c>
      <c r="AD33" s="30">
        <f t="shared" si="5"/>
        <v>2807548.0355330477</v>
      </c>
      <c r="AE33" s="33"/>
    </row>
    <row r="34" spans="1:31" x14ac:dyDescent="0.2">
      <c r="A34">
        <v>1732</v>
      </c>
      <c r="B34">
        <v>3775</v>
      </c>
      <c r="C34">
        <v>25982</v>
      </c>
      <c r="D34">
        <v>129117</v>
      </c>
      <c r="E34">
        <v>809</v>
      </c>
      <c r="F34" s="24">
        <v>1.3036936955813228</v>
      </c>
      <c r="G34" s="24">
        <v>1.4998102543503353</v>
      </c>
      <c r="H34" s="24">
        <v>1.5793349377856964</v>
      </c>
      <c r="I34" s="25">
        <f t="shared" si="1"/>
        <v>38968.070028530412</v>
      </c>
      <c r="J34" s="25">
        <f t="shared" si="2"/>
        <v>203918.98916207577</v>
      </c>
      <c r="R34" s="25">
        <f>300*(Population!AE35+Population!AG35)</f>
        <v>1213860.7137975867</v>
      </c>
      <c r="S34" s="25">
        <f>300*(Population!V35-Population!AE35)</f>
        <v>2001607.9351499213</v>
      </c>
      <c r="T34">
        <f>17000*'Agricultural production'!X35</f>
        <v>1309000</v>
      </c>
      <c r="U34" s="25">
        <f t="shared" si="3"/>
        <v>4524468.6489475081</v>
      </c>
      <c r="Z34" s="25">
        <f t="shared" si="4"/>
        <v>3684782.8200000003</v>
      </c>
      <c r="AC34" s="25">
        <f t="shared" si="0"/>
        <v>2098703.4022438875</v>
      </c>
      <c r="AD34" s="30">
        <f t="shared" si="5"/>
        <v>2907291.8178117611</v>
      </c>
      <c r="AE34" s="33"/>
    </row>
    <row r="35" spans="1:31" x14ac:dyDescent="0.2">
      <c r="A35">
        <v>1733</v>
      </c>
      <c r="B35">
        <v>4085</v>
      </c>
      <c r="C35">
        <v>26824</v>
      </c>
      <c r="D35">
        <v>135014</v>
      </c>
      <c r="E35">
        <v>751</v>
      </c>
      <c r="F35" s="24">
        <v>1.2875888271958227</v>
      </c>
      <c r="G35" s="24">
        <v>1.4633261432074669</v>
      </c>
      <c r="H35" s="24">
        <v>1.6330203044014324</v>
      </c>
      <c r="I35" s="25">
        <f t="shared" si="1"/>
        <v>39252.260465397092</v>
      </c>
      <c r="J35" s="25">
        <f t="shared" si="2"/>
        <v>220480.60337845501</v>
      </c>
      <c r="R35" s="25">
        <f>300*(Population!AE36+Population!AG36)</f>
        <v>1202218.8917103934</v>
      </c>
      <c r="S35" s="25">
        <f>300*(Population!V36-Population!AE36)</f>
        <v>2030424.9312456627</v>
      </c>
      <c r="T35">
        <f>17000*'Agricultural production'!X36</f>
        <v>1292000</v>
      </c>
      <c r="U35" s="25">
        <f t="shared" si="3"/>
        <v>4524643.8229560563</v>
      </c>
      <c r="Z35" s="25">
        <f t="shared" si="4"/>
        <v>3842320.44</v>
      </c>
      <c r="AC35" s="25">
        <f t="shared" si="0"/>
        <v>2240634.4469864536</v>
      </c>
      <c r="AD35" s="30">
        <f t="shared" si="5"/>
        <v>3001970.9056429877</v>
      </c>
      <c r="AE35" s="33"/>
    </row>
    <row r="36" spans="1:31" x14ac:dyDescent="0.2">
      <c r="A36">
        <v>1734</v>
      </c>
      <c r="B36">
        <v>4498</v>
      </c>
      <c r="C36">
        <v>29226</v>
      </c>
      <c r="D36">
        <v>139315</v>
      </c>
      <c r="E36">
        <v>1002</v>
      </c>
      <c r="F36" s="24">
        <v>1.2716829064516231</v>
      </c>
      <c r="G36" s="24">
        <v>1.4277295379087704</v>
      </c>
      <c r="H36" s="24">
        <v>1.6885305648504592</v>
      </c>
      <c r="I36" s="25">
        <f t="shared" si="1"/>
        <v>41726.823474921723</v>
      </c>
      <c r="J36" s="25">
        <f t="shared" si="2"/>
        <v>235237.63564214171</v>
      </c>
      <c r="R36" s="25">
        <f>300*(Population!AE37+Population!AG37)</f>
        <v>1291296.1974539885</v>
      </c>
      <c r="S36" s="25">
        <f>300*(Population!V37-Population!AE37)</f>
        <v>2198660.9962608609</v>
      </c>
      <c r="T36">
        <f>17000*'Agricultural production'!X37</f>
        <v>1377000</v>
      </c>
      <c r="U36" s="25">
        <f t="shared" si="3"/>
        <v>4866957.1937148497</v>
      </c>
      <c r="Z36" s="25">
        <f t="shared" si="4"/>
        <v>4013003.0999999996</v>
      </c>
      <c r="AC36" s="25">
        <f t="shared" si="0"/>
        <v>2389091.6917957156</v>
      </c>
      <c r="AD36" s="30">
        <f t="shared" si="5"/>
        <v>3215046.8591020941</v>
      </c>
      <c r="AE36" s="33"/>
    </row>
    <row r="37" spans="1:31" x14ac:dyDescent="0.2">
      <c r="A37">
        <v>1735</v>
      </c>
      <c r="B37">
        <v>5001</v>
      </c>
      <c r="C37">
        <v>32030</v>
      </c>
      <c r="D37">
        <v>146727</v>
      </c>
      <c r="E37">
        <v>925</v>
      </c>
      <c r="F37" s="24">
        <v>1.255973475696601</v>
      </c>
      <c r="G37" s="24">
        <v>1.3929988491486891</v>
      </c>
      <c r="H37" s="24">
        <v>1.7459277516327432</v>
      </c>
      <c r="I37" s="25">
        <f t="shared" si="1"/>
        <v>44617.753138232511</v>
      </c>
      <c r="J37" s="25">
        <f t="shared" si="2"/>
        <v>256174.7412138175</v>
      </c>
      <c r="R37" s="25">
        <f>300*(Population!AE38+Population!AG38)</f>
        <v>1358083.1385704961</v>
      </c>
      <c r="S37" s="25">
        <f>300*(Population!V38-Population!AE38)</f>
        <v>2281507.1339831213</v>
      </c>
      <c r="T37">
        <f>17000*'Agricultural production'!X38</f>
        <v>1428000</v>
      </c>
      <c r="U37" s="25">
        <f t="shared" si="3"/>
        <v>5067590.2725536171</v>
      </c>
      <c r="Z37" s="25">
        <f t="shared" si="4"/>
        <v>4265479.0199999996</v>
      </c>
      <c r="AC37" s="25">
        <f t="shared" si="0"/>
        <v>2593583.5822645687</v>
      </c>
      <c r="AD37" s="30">
        <f t="shared" si="5"/>
        <v>3418252.4790275847</v>
      </c>
      <c r="AE37" s="33"/>
    </row>
    <row r="38" spans="1:31" x14ac:dyDescent="0.2">
      <c r="A38">
        <v>1736</v>
      </c>
      <c r="B38">
        <v>3966</v>
      </c>
      <c r="C38">
        <v>32473</v>
      </c>
      <c r="D38">
        <v>144081</v>
      </c>
      <c r="E38">
        <v>914</v>
      </c>
      <c r="F38" s="24">
        <v>1.2404581076386512</v>
      </c>
      <c r="G38" s="24">
        <v>1.3591130127991815</v>
      </c>
      <c r="H38" s="24">
        <v>1.8052760058810828</v>
      </c>
      <c r="I38" s="25">
        <f t="shared" si="1"/>
        <v>44134.476864627824</v>
      </c>
      <c r="J38" s="25">
        <f t="shared" si="2"/>
        <v>260105.97220335228</v>
      </c>
      <c r="R38" s="25">
        <f>300*(Population!AE39+Population!AG39)</f>
        <v>1370587.2699500711</v>
      </c>
      <c r="S38" s="25">
        <f>300*(Population!V39-Population!AE39)</f>
        <v>2334155.8826716812</v>
      </c>
      <c r="T38">
        <f>17000*'Agricultural production'!X39</f>
        <v>1156000</v>
      </c>
      <c r="U38" s="25">
        <f t="shared" si="3"/>
        <v>4860743.1526217526</v>
      </c>
      <c r="Z38" s="25">
        <f t="shared" si="4"/>
        <v>4220400.66</v>
      </c>
      <c r="AC38" s="25">
        <f t="shared" si="0"/>
        <v>2621821.4874679744</v>
      </c>
      <c r="AD38" s="30">
        <f t="shared" si="5"/>
        <v>3368128.7091859006</v>
      </c>
      <c r="AE38" s="33"/>
    </row>
    <row r="39" spans="1:31" x14ac:dyDescent="0.2">
      <c r="A39">
        <v>1737</v>
      </c>
      <c r="B39">
        <v>4271</v>
      </c>
      <c r="C39">
        <v>33332</v>
      </c>
      <c r="D39">
        <v>142892</v>
      </c>
      <c r="E39">
        <v>847</v>
      </c>
      <c r="F39" s="24">
        <v>1.2251344049706414</v>
      </c>
      <c r="G39" s="24">
        <v>1.3260514771343495</v>
      </c>
      <c r="H39" s="24">
        <v>1.8666416490385751</v>
      </c>
      <c r="I39" s="25">
        <f t="shared" si="1"/>
        <v>44199.947835842133</v>
      </c>
      <c r="J39" s="25">
        <f t="shared" si="2"/>
        <v>266728.15851442009</v>
      </c>
      <c r="R39" s="25">
        <f>300*(Population!AE40+Population!AG40)</f>
        <v>1340966.7535668986</v>
      </c>
      <c r="S39" s="25">
        <f>300*(Population!V40-Population!AE40)</f>
        <v>2335389.36315489</v>
      </c>
      <c r="T39">
        <f>17000*'Agricultural production'!X40</f>
        <v>1479000</v>
      </c>
      <c r="U39" s="25">
        <f t="shared" si="3"/>
        <v>5155356.1167217884</v>
      </c>
      <c r="Z39" s="25">
        <f t="shared" si="4"/>
        <v>4220734.32</v>
      </c>
      <c r="AC39" s="25">
        <f t="shared" si="0"/>
        <v>2678096.0150959659</v>
      </c>
      <c r="AD39" s="30">
        <f t="shared" si="5"/>
        <v>3503849.3823045734</v>
      </c>
      <c r="AE39" s="33"/>
    </row>
    <row r="40" spans="1:31" x14ac:dyDescent="0.2">
      <c r="A40">
        <v>1738</v>
      </c>
      <c r="B40">
        <v>4430</v>
      </c>
      <c r="C40">
        <v>33876</v>
      </c>
      <c r="D40">
        <v>151075</v>
      </c>
      <c r="E40">
        <v>937</v>
      </c>
      <c r="F40" s="24">
        <v>1.2099999999999997</v>
      </c>
      <c r="G40" s="24">
        <v>1.2937941903658368</v>
      </c>
      <c r="H40" s="24">
        <v>1.9300932569725697</v>
      </c>
      <c r="I40" s="25">
        <f t="shared" si="1"/>
        <v>43828.571992833087</v>
      </c>
      <c r="J40" s="25">
        <f t="shared" si="2"/>
        <v>291588.83879713097</v>
      </c>
      <c r="R40" s="25">
        <f>300*(Population!AE41+Population!AG41)</f>
        <v>1367911.8433374602</v>
      </c>
      <c r="S40" s="25">
        <f>300*(Population!V41-Population!AE41)</f>
        <v>2364775.5744539164</v>
      </c>
      <c r="T40">
        <f>17000*'Agricultural production'!X41</f>
        <v>1513000</v>
      </c>
      <c r="U40" s="25">
        <f t="shared" si="3"/>
        <v>5245687.4177913768</v>
      </c>
      <c r="Z40" s="25">
        <f t="shared" si="4"/>
        <v>4419860.7</v>
      </c>
      <c r="AC40" s="25">
        <f t="shared" si="0"/>
        <v>2883249.1086249477</v>
      </c>
      <c r="AD40" s="30">
        <f t="shared" si="5"/>
        <v>3670728.5450137574</v>
      </c>
      <c r="AE40" s="33"/>
    </row>
    <row r="41" spans="1:31" x14ac:dyDescent="0.2">
      <c r="A41">
        <v>1739</v>
      </c>
      <c r="B41">
        <v>4728</v>
      </c>
      <c r="C41">
        <v>31146</v>
      </c>
      <c r="D41">
        <v>143397</v>
      </c>
      <c r="E41">
        <v>664</v>
      </c>
      <c r="F41" s="24">
        <v>1.3578619447357938</v>
      </c>
      <c r="G41" s="24">
        <v>1.4499008167518348</v>
      </c>
      <c r="H41" s="24">
        <v>1.8595435218311183</v>
      </c>
      <c r="I41" s="25">
        <f t="shared" si="1"/>
        <v>45158.610838552646</v>
      </c>
      <c r="J41" s="25">
        <f t="shared" si="2"/>
        <v>266652.96240001684</v>
      </c>
      <c r="R41" s="25">
        <f>300*(Population!AE42+Population!AG42)</f>
        <v>1315385.083839823</v>
      </c>
      <c r="S41" s="25">
        <f>300*(Population!V42-Population!AE42)</f>
        <v>2361813.039585894</v>
      </c>
      <c r="T41">
        <f>17000*'Agricultural production'!X42</f>
        <v>1275000</v>
      </c>
      <c r="U41" s="25">
        <f t="shared" si="3"/>
        <v>4952198.1234257165</v>
      </c>
      <c r="Z41" s="25">
        <f t="shared" si="4"/>
        <v>4163772.42</v>
      </c>
      <c r="AC41" s="25">
        <f t="shared" si="0"/>
        <v>2686955.1314618131</v>
      </c>
      <c r="AD41" s="30">
        <f t="shared" si="5"/>
        <v>3442036.1287831143</v>
      </c>
      <c r="AE41" s="33"/>
    </row>
    <row r="42" spans="1:31" x14ac:dyDescent="0.2">
      <c r="A42">
        <v>1740</v>
      </c>
      <c r="B42">
        <v>5142</v>
      </c>
      <c r="C42">
        <v>32598</v>
      </c>
      <c r="D42">
        <v>158745</v>
      </c>
      <c r="E42">
        <v>895</v>
      </c>
      <c r="F42" s="24">
        <v>1.5237926123650185</v>
      </c>
      <c r="G42" s="24">
        <v>1.6248429573046781</v>
      </c>
      <c r="H42" s="24">
        <v>1.7915725559333524</v>
      </c>
      <c r="I42" s="25">
        <f t="shared" si="1"/>
        <v>52966.630722217895</v>
      </c>
      <c r="J42" s="25">
        <f t="shared" si="2"/>
        <v>284403.18539164</v>
      </c>
      <c r="R42" s="25">
        <f>300*(Population!AE43+Population!AG43)</f>
        <v>1314306.5641395145</v>
      </c>
      <c r="S42" s="25">
        <f>300*(Population!V43-Population!AE43)</f>
        <v>2338754.9006582359</v>
      </c>
      <c r="T42">
        <f>17000*'Agricultural production'!X43</f>
        <v>1054000</v>
      </c>
      <c r="U42" s="25">
        <f t="shared" si="3"/>
        <v>4707061.4647977501</v>
      </c>
      <c r="Z42" s="25">
        <f t="shared" si="4"/>
        <v>4550721.3</v>
      </c>
      <c r="AC42" s="25">
        <f t="shared" si="0"/>
        <v>2913356.4014397333</v>
      </c>
      <c r="AD42" s="30">
        <f t="shared" si="5"/>
        <v>3511258.0892257392</v>
      </c>
      <c r="AE42" s="33"/>
    </row>
    <row r="43" spans="1:31" x14ac:dyDescent="0.2">
      <c r="A43">
        <v>1741</v>
      </c>
      <c r="B43">
        <v>5193</v>
      </c>
      <c r="C43">
        <v>32025</v>
      </c>
      <c r="D43">
        <v>152037</v>
      </c>
      <c r="E43">
        <v>693</v>
      </c>
      <c r="F43" s="24">
        <v>1.7099999999999997</v>
      </c>
      <c r="G43" s="24">
        <v>1.8208932675941063</v>
      </c>
      <c r="H43" s="24">
        <v>1.7260860988146691</v>
      </c>
      <c r="I43" s="25">
        <f t="shared" si="1"/>
        <v>58314.106894701254</v>
      </c>
      <c r="J43" s="25">
        <f t="shared" si="2"/>
        <v>262428.95220548584</v>
      </c>
      <c r="R43" s="25">
        <f>300*(Population!AE44+Population!AG44)</f>
        <v>1426122.673946938</v>
      </c>
      <c r="S43" s="25">
        <f>300*(Population!V44-Population!AE44)</f>
        <v>2519057.1705710255</v>
      </c>
      <c r="T43">
        <f>17000*'Agricultural production'!X44</f>
        <v>1241000</v>
      </c>
      <c r="U43" s="25">
        <f t="shared" si="3"/>
        <v>5186179.844517963</v>
      </c>
      <c r="Z43" s="25">
        <f t="shared" si="4"/>
        <v>4383523.62</v>
      </c>
      <c r="AC43" s="25">
        <f t="shared" si="0"/>
        <v>2781712.8567836238</v>
      </c>
      <c r="AD43" s="30">
        <f t="shared" si="5"/>
        <v>3583201.8526950702</v>
      </c>
      <c r="AE43" s="33"/>
    </row>
    <row r="44" spans="1:31" x14ac:dyDescent="0.2">
      <c r="A44">
        <v>1742</v>
      </c>
      <c r="B44">
        <v>5623</v>
      </c>
      <c r="C44">
        <v>33613</v>
      </c>
      <c r="D44" s="7">
        <v>164680</v>
      </c>
      <c r="E44">
        <v>525</v>
      </c>
      <c r="F44" s="24">
        <v>1.7162482229565386</v>
      </c>
      <c r="G44" s="24">
        <v>1.8262605844616269</v>
      </c>
      <c r="H44" s="24">
        <v>1.7595126488204318</v>
      </c>
      <c r="I44" s="25">
        <f t="shared" si="1"/>
        <v>61386.097025508665</v>
      </c>
      <c r="J44" s="25">
        <f t="shared" si="2"/>
        <v>289756.54300774873</v>
      </c>
      <c r="R44" s="25">
        <f>300*(Population!AE45+Population!AG45)</f>
        <v>1336134.7723681682</v>
      </c>
      <c r="S44" s="25">
        <f>300*(Population!V45-Population!AE45)</f>
        <v>2371193.8655250049</v>
      </c>
      <c r="T44">
        <f>17000*'Agricultural production'!X45</f>
        <v>1190000</v>
      </c>
      <c r="U44" s="25">
        <f t="shared" si="3"/>
        <v>4897328.6378931729</v>
      </c>
      <c r="Z44" s="25">
        <f t="shared" si="4"/>
        <v>4714502.4000000004</v>
      </c>
      <c r="AC44" s="25">
        <f t="shared" si="0"/>
        <v>3041677.3218176253</v>
      </c>
      <c r="AD44" s="30">
        <f t="shared" si="5"/>
        <v>3660227.7605094747</v>
      </c>
      <c r="AE44" s="33"/>
    </row>
    <row r="45" spans="1:31" x14ac:dyDescent="0.2">
      <c r="A45">
        <v>1743</v>
      </c>
      <c r="B45">
        <v>5789</v>
      </c>
      <c r="C45">
        <v>34916</v>
      </c>
      <c r="D45">
        <v>169440</v>
      </c>
      <c r="E45">
        <v>613</v>
      </c>
      <c r="F45" s="24">
        <v>1.722519276492092</v>
      </c>
      <c r="G45" s="24">
        <v>1.8316437221852455</v>
      </c>
      <c r="H45" s="24">
        <v>1.793586521254696</v>
      </c>
      <c r="I45" s="25">
        <f t="shared" si="1"/>
        <v>63953.672203820031</v>
      </c>
      <c r="J45" s="25">
        <f t="shared" si="2"/>
        <v>303905.30016139569</v>
      </c>
      <c r="R45" s="25">
        <f>300*(Population!AE46+Population!AG46)</f>
        <v>1285740.0237471887</v>
      </c>
      <c r="S45" s="25">
        <f>300*(Population!V46-Population!AE46)</f>
        <v>2299303.9569920772</v>
      </c>
      <c r="T45">
        <f>17000*'Agricultural production'!X46</f>
        <v>1054000</v>
      </c>
      <c r="U45" s="25">
        <f t="shared" si="3"/>
        <v>4639043.9807392657</v>
      </c>
      <c r="Z45" s="25">
        <f t="shared" si="4"/>
        <v>4861113.6000000006</v>
      </c>
      <c r="AC45" s="25">
        <f t="shared" si="0"/>
        <v>3185945.8761735423</v>
      </c>
      <c r="AD45" s="30">
        <f t="shared" si="5"/>
        <v>3670311.9110287838</v>
      </c>
      <c r="AE45" s="33"/>
    </row>
    <row r="46" spans="1:31" x14ac:dyDescent="0.2">
      <c r="A46">
        <v>1744</v>
      </c>
      <c r="B46">
        <v>5749</v>
      </c>
      <c r="C46">
        <v>31901</v>
      </c>
      <c r="D46">
        <v>160950</v>
      </c>
      <c r="E46">
        <v>496</v>
      </c>
      <c r="F46" s="24">
        <v>1.7288132440280326</v>
      </c>
      <c r="G46" s="24">
        <v>1.8370427273989687</v>
      </c>
      <c r="H46" s="24">
        <v>1.8283202518510739</v>
      </c>
      <c r="I46" s="25">
        <f t="shared" si="1"/>
        <v>58603.500046754503</v>
      </c>
      <c r="J46" s="25">
        <f t="shared" si="2"/>
        <v>294268.14453543036</v>
      </c>
      <c r="R46" s="25">
        <f>300*(Population!AE47+Population!AG47)</f>
        <v>1327882.8704489695</v>
      </c>
      <c r="S46" s="25">
        <f>300*(Population!V47-Population!AE47)</f>
        <v>2340139.5984181869</v>
      </c>
      <c r="T46">
        <f>17000*'Agricultural production'!X47</f>
        <v>1377000</v>
      </c>
      <c r="U46" s="25">
        <f t="shared" si="3"/>
        <v>5045022.4688671567</v>
      </c>
      <c r="Z46" s="25">
        <f t="shared" si="4"/>
        <v>4578058.2</v>
      </c>
      <c r="AC46" s="25">
        <f t="shared" si="0"/>
        <v>3052027.0645604846</v>
      </c>
      <c r="AD46" s="30">
        <f t="shared" si="5"/>
        <v>3716358.8659960418</v>
      </c>
      <c r="AE46" s="33"/>
    </row>
    <row r="47" spans="1:31" x14ac:dyDescent="0.2">
      <c r="A47">
        <v>1745</v>
      </c>
      <c r="B47">
        <v>6193</v>
      </c>
      <c r="C47">
        <v>31641</v>
      </c>
      <c r="D47">
        <v>162305</v>
      </c>
      <c r="E47">
        <v>553</v>
      </c>
      <c r="F47" s="24">
        <v>1.7351302092905501</v>
      </c>
      <c r="G47" s="24">
        <v>1.8424576468742617</v>
      </c>
      <c r="H47" s="24">
        <v>1.8637266191041422</v>
      </c>
      <c r="I47" s="25">
        <f t="shared" si="1"/>
        <v>58297.202404748517</v>
      </c>
      <c r="J47" s="25">
        <f t="shared" si="2"/>
        <v>302492.14891369781</v>
      </c>
      <c r="R47" s="25">
        <f>300*(Population!AE48+Population!AG48)</f>
        <v>1344136.1664308782</v>
      </c>
      <c r="S47" s="25">
        <f>300*(Population!V48-Population!AE48)</f>
        <v>2390523.2966947923</v>
      </c>
      <c r="T47">
        <f>17000*'Agricultural production'!X48</f>
        <v>1207000</v>
      </c>
      <c r="U47" s="25">
        <f t="shared" si="3"/>
        <v>4941659.4631256703</v>
      </c>
      <c r="Z47" s="25">
        <f t="shared" si="4"/>
        <v>4600108.5</v>
      </c>
      <c r="AC47" s="25">
        <f t="shared" si="0"/>
        <v>3118076.3546820725</v>
      </c>
      <c r="AD47" s="30">
        <f t="shared" si="5"/>
        <v>3725937.390829938</v>
      </c>
      <c r="AE47" s="33"/>
    </row>
    <row r="48" spans="1:31" x14ac:dyDescent="0.2">
      <c r="A48">
        <v>1746</v>
      </c>
      <c r="B48">
        <v>6597</v>
      </c>
      <c r="C48">
        <v>33733</v>
      </c>
      <c r="D48">
        <v>163559</v>
      </c>
      <c r="E48">
        <v>548</v>
      </c>
      <c r="F48" s="24">
        <v>1.7414702563117626</v>
      </c>
      <c r="G48" s="24">
        <v>1.8478885275204546</v>
      </c>
      <c r="H48" s="24">
        <v>1.8998186489706339</v>
      </c>
      <c r="I48" s="25">
        <f t="shared" si="1"/>
        <v>62334.823698847496</v>
      </c>
      <c r="J48" s="25">
        <f t="shared" si="2"/>
        <v>310732.43840698793</v>
      </c>
      <c r="R48" s="25">
        <f>300*(Population!AE49+Population!AG49)</f>
        <v>1361690.4996298295</v>
      </c>
      <c r="S48" s="25">
        <f>300*(Population!V49-Population!AE49)</f>
        <v>2427144.2958822073</v>
      </c>
      <c r="T48">
        <f>17000*'Agricultural production'!X49</f>
        <v>1088000</v>
      </c>
      <c r="U48" s="25">
        <f t="shared" si="3"/>
        <v>4876834.7955120374</v>
      </c>
      <c r="Z48" s="25">
        <f t="shared" si="4"/>
        <v>4693292.9400000004</v>
      </c>
      <c r="AC48" s="25">
        <f t="shared" si="0"/>
        <v>3227267.2372372891</v>
      </c>
      <c r="AD48" s="30">
        <f t="shared" si="5"/>
        <v>3777123.0899955384</v>
      </c>
      <c r="AE48" s="33"/>
    </row>
    <row r="49" spans="1:31" x14ac:dyDescent="0.2">
      <c r="A49">
        <v>1747</v>
      </c>
      <c r="B49">
        <v>6776</v>
      </c>
      <c r="C49">
        <v>30740</v>
      </c>
      <c r="D49">
        <v>152605</v>
      </c>
      <c r="E49">
        <v>485</v>
      </c>
      <c r="F49" s="24">
        <v>1.7478334694308368</v>
      </c>
      <c r="G49" s="24">
        <v>1.8533354163851508</v>
      </c>
      <c r="H49" s="24">
        <v>1.9366096196616709</v>
      </c>
      <c r="I49" s="25">
        <f t="shared" si="1"/>
        <v>56971.530699679533</v>
      </c>
      <c r="J49" s="25">
        <f t="shared" si="2"/>
        <v>295536.31100846926</v>
      </c>
      <c r="R49" s="25">
        <f>300*(Population!AE50+Population!AG50)</f>
        <v>1411660.273449997</v>
      </c>
      <c r="S49" s="25">
        <f>300*(Population!V50-Population!AE50)</f>
        <v>2486520.6619249075</v>
      </c>
      <c r="T49">
        <f>17000*'Agricultural production'!X50</f>
        <v>1258000</v>
      </c>
      <c r="U49" s="25">
        <f t="shared" si="3"/>
        <v>5156180.9353749044</v>
      </c>
      <c r="Z49" s="25">
        <f t="shared" si="4"/>
        <v>4356075.3000000007</v>
      </c>
      <c r="AC49" s="25">
        <f t="shared" si="0"/>
        <v>3046523.1663979692</v>
      </c>
      <c r="AD49" s="30">
        <f t="shared" si="5"/>
        <v>3749742.4227236141</v>
      </c>
      <c r="AE49" s="33"/>
    </row>
    <row r="50" spans="1:31" x14ac:dyDescent="0.2">
      <c r="A50">
        <v>1748</v>
      </c>
      <c r="B50">
        <v>6807</v>
      </c>
      <c r="C50">
        <v>31375</v>
      </c>
      <c r="D50">
        <v>152092</v>
      </c>
      <c r="E50">
        <v>429</v>
      </c>
      <c r="F50" s="24">
        <v>1.7542199332951085</v>
      </c>
      <c r="G50" s="24">
        <v>1.858798360654631</v>
      </c>
      <c r="H50" s="24">
        <v>1.9741130665278011</v>
      </c>
      <c r="I50" s="25">
        <f t="shared" si="1"/>
        <v>58319.798565539051</v>
      </c>
      <c r="J50" s="25">
        <f t="shared" si="2"/>
        <v>300246.8045143463</v>
      </c>
      <c r="R50" s="25">
        <f>300*(Population!AE51+Population!AG51)</f>
        <v>1499196.3814543779</v>
      </c>
      <c r="S50" s="25">
        <f>300*(Population!V51-Population!AE51)</f>
        <v>2529448.5150971529</v>
      </c>
      <c r="T50">
        <f>17000*'Agricultural production'!X51</f>
        <v>1428000</v>
      </c>
      <c r="U50" s="25">
        <f t="shared" si="3"/>
        <v>5456644.8965515308</v>
      </c>
      <c r="Z50" s="25">
        <f t="shared" si="4"/>
        <v>4364467.92</v>
      </c>
      <c r="AC50" s="25">
        <f t="shared" si="0"/>
        <v>3099439.1637193458</v>
      </c>
      <c r="AD50" s="30">
        <f t="shared" si="5"/>
        <v>3885174.4079967407</v>
      </c>
      <c r="AE50" s="33"/>
    </row>
    <row r="51" spans="1:31" x14ac:dyDescent="0.2">
      <c r="A51">
        <v>1749</v>
      </c>
      <c r="B51">
        <v>5732</v>
      </c>
      <c r="C51">
        <v>31773</v>
      </c>
      <c r="D51">
        <v>158349</v>
      </c>
      <c r="E51">
        <v>390</v>
      </c>
      <c r="F51" s="24">
        <v>1.7606297328612095</v>
      </c>
      <c r="G51" s="24">
        <v>1.864277407654263</v>
      </c>
      <c r="H51" s="24">
        <v>2.012342787038635</v>
      </c>
      <c r="I51" s="25">
        <f t="shared" si="1"/>
        <v>59233.686073398894</v>
      </c>
      <c r="J51" s="25">
        <f t="shared" si="2"/>
        <v>318652.46798478079</v>
      </c>
      <c r="R51" s="25">
        <f>300*(Population!AE52+Population!AG52)</f>
        <v>1424209.2053611802</v>
      </c>
      <c r="S51" s="25">
        <f>300*(Population!V52-Population!AE52)</f>
        <v>2527248.5655676406</v>
      </c>
      <c r="T51">
        <f>17000*'Agricultural production'!X52</f>
        <v>1275000</v>
      </c>
      <c r="U51" s="25">
        <f t="shared" si="3"/>
        <v>5226457.7709288206</v>
      </c>
      <c r="Z51" s="25">
        <f t="shared" si="4"/>
        <v>4516166.34</v>
      </c>
      <c r="AC51" s="25">
        <f t="shared" si="0"/>
        <v>3263094.2231988078</v>
      </c>
      <c r="AD51" s="30">
        <f t="shared" si="5"/>
        <v>3917548.7391088121</v>
      </c>
      <c r="AE51" s="33"/>
    </row>
    <row r="52" spans="1:31" x14ac:dyDescent="0.2">
      <c r="A52">
        <v>1750</v>
      </c>
      <c r="B52">
        <v>4818</v>
      </c>
      <c r="C52">
        <v>33527</v>
      </c>
      <c r="D52">
        <v>165534</v>
      </c>
      <c r="E52">
        <v>279</v>
      </c>
      <c r="F52" s="24">
        <v>1.767062953396197</v>
      </c>
      <c r="G52" s="24">
        <v>1.8697726048489129</v>
      </c>
      <c r="H52" s="24">
        <v>2.0513128458589192</v>
      </c>
      <c r="I52" s="25">
        <f t="shared" si="1"/>
        <v>62687.866122769505</v>
      </c>
      <c r="J52" s="25">
        <f t="shared" si="2"/>
        <v>339562.02062641032</v>
      </c>
      <c r="R52" s="25">
        <f>300*(Population!AE53+Population!AG53)</f>
        <v>1507017.4703203745</v>
      </c>
      <c r="S52" s="25">
        <f>300*(Population!V53-Population!AE53)</f>
        <v>2676376.3767491337</v>
      </c>
      <c r="T52">
        <f>17000*'Agricultural production'!X53</f>
        <v>1377000</v>
      </c>
      <c r="U52" s="25">
        <f t="shared" si="3"/>
        <v>5560393.8470695084</v>
      </c>
      <c r="Z52" s="25">
        <f t="shared" si="4"/>
        <v>4730829.24</v>
      </c>
      <c r="AC52" s="25">
        <f t="shared" si="0"/>
        <v>3472930.847877265</v>
      </c>
      <c r="AD52" s="30">
        <f t="shared" si="5"/>
        <v>4168751.8476080126</v>
      </c>
      <c r="AE52" s="33"/>
    </row>
    <row r="53" spans="1:31" x14ac:dyDescent="0.2">
      <c r="A53">
        <v>1751</v>
      </c>
      <c r="B53">
        <v>5024</v>
      </c>
      <c r="C53">
        <v>33250</v>
      </c>
      <c r="D53">
        <v>161344</v>
      </c>
      <c r="E53">
        <v>256</v>
      </c>
      <c r="F53" s="24">
        <v>1.7735196804786879</v>
      </c>
      <c r="G53" s="24">
        <v>1.8752839998433561</v>
      </c>
      <c r="H53" s="24">
        <v>2.0910375800229062</v>
      </c>
      <c r="I53" s="25">
        <f t="shared" si="1"/>
        <v>62353.192994791592</v>
      </c>
      <c r="J53" s="25">
        <f t="shared" si="2"/>
        <v>337376.36731121578</v>
      </c>
      <c r="R53" s="25">
        <f>300*(Population!AE54+Population!AG54)</f>
        <v>1516188.6186718922</v>
      </c>
      <c r="S53" s="25">
        <f>300*(Population!V54-Population!AE54)</f>
        <v>2724448.0550831053</v>
      </c>
      <c r="T53">
        <f>17000*'Agricultural production'!X54</f>
        <v>1105000</v>
      </c>
      <c r="U53" s="25">
        <f t="shared" si="3"/>
        <v>5345636.6737549976</v>
      </c>
      <c r="Z53" s="25">
        <f t="shared" si="4"/>
        <v>4628917.4400000004</v>
      </c>
      <c r="AC53" s="25">
        <f t="shared" si="0"/>
        <v>3451258.0960626495</v>
      </c>
      <c r="AD53" s="30">
        <f t="shared" si="5"/>
        <v>4082717.6219600984</v>
      </c>
      <c r="AE53" s="33"/>
    </row>
    <row r="54" spans="1:31" x14ac:dyDescent="0.2">
      <c r="A54">
        <v>1752</v>
      </c>
      <c r="B54">
        <v>5615</v>
      </c>
      <c r="C54">
        <v>34168</v>
      </c>
      <c r="D54">
        <v>175341</v>
      </c>
      <c r="E54">
        <v>424</v>
      </c>
      <c r="F54" s="24">
        <v>1.7799999999999983</v>
      </c>
      <c r="G54" s="24">
        <v>1.8808116403826893</v>
      </c>
      <c r="H54" s="24">
        <v>2.1315316042089321</v>
      </c>
      <c r="I54" s="25">
        <f t="shared" si="1"/>
        <v>64263.572128595726</v>
      </c>
      <c r="J54" s="25">
        <f t="shared" si="2"/>
        <v>373744.88301359833</v>
      </c>
      <c r="R54" s="25">
        <f>300*(Population!AE55+Population!AG55)</f>
        <v>1610770.487727613</v>
      </c>
      <c r="S54" s="25">
        <f>300*(Population!V55-Population!AE55)</f>
        <v>2880457.8880941006</v>
      </c>
      <c r="T54">
        <f>17000*'Agricultural production'!X55</f>
        <v>1326000</v>
      </c>
      <c r="U54" s="25">
        <f t="shared" si="3"/>
        <v>5817228.3758217143</v>
      </c>
      <c r="Z54" s="25">
        <f t="shared" si="4"/>
        <v>4969132.2600000007</v>
      </c>
      <c r="AC54" s="25">
        <f t="shared" si="0"/>
        <v>3775666.3813873236</v>
      </c>
      <c r="AD54" s="30">
        <f t="shared" si="5"/>
        <v>4456187.0461987872</v>
      </c>
      <c r="AE54" s="33"/>
    </row>
    <row r="55" spans="1:31" x14ac:dyDescent="0.2">
      <c r="A55">
        <v>1753</v>
      </c>
      <c r="B55">
        <v>6136</v>
      </c>
      <c r="C55">
        <v>36243</v>
      </c>
      <c r="D55">
        <v>191511</v>
      </c>
      <c r="E55">
        <v>477</v>
      </c>
      <c r="F55" s="24">
        <v>1.6940996857562542</v>
      </c>
      <c r="G55" s="24">
        <v>1.9302007916834893</v>
      </c>
      <c r="H55" s="24">
        <v>2.1052998252458077</v>
      </c>
      <c r="I55" s="25">
        <f t="shared" si="1"/>
        <v>69956.267292984703</v>
      </c>
      <c r="J55" s="25">
        <f t="shared" si="2"/>
        <v>403188.0748326499</v>
      </c>
      <c r="R55" s="25">
        <f>300*(Population!AE56+Population!AG56)</f>
        <v>1686836.782968181</v>
      </c>
      <c r="S55" s="25">
        <f>300*(Population!V56-Population!AE56)</f>
        <v>2971649.6228653649</v>
      </c>
      <c r="T55">
        <f>17000*'Agricultural production'!X56</f>
        <v>1241000</v>
      </c>
      <c r="U55" s="25">
        <f t="shared" si="3"/>
        <v>5899486.4058335461</v>
      </c>
      <c r="Z55" s="25">
        <f t="shared" si="4"/>
        <v>5393816.4600000009</v>
      </c>
      <c r="AC55" s="25">
        <f t="shared" si="0"/>
        <v>4079346.8747948082</v>
      </c>
      <c r="AD55" s="30">
        <f t="shared" si="5"/>
        <v>4686060.0518077211</v>
      </c>
      <c r="AE55" s="33"/>
    </row>
    <row r="56" spans="1:31" x14ac:dyDescent="0.2">
      <c r="A56">
        <v>1754</v>
      </c>
      <c r="B56">
        <v>6106</v>
      </c>
      <c r="C56">
        <v>36224</v>
      </c>
      <c r="D56">
        <v>195189</v>
      </c>
      <c r="E56">
        <v>585</v>
      </c>
      <c r="F56" s="24">
        <v>1.6123448007187877</v>
      </c>
      <c r="G56" s="24">
        <v>1.9808868768259551</v>
      </c>
      <c r="H56" s="24">
        <v>2.0793908687199463</v>
      </c>
      <c r="I56" s="25">
        <f t="shared" si="1"/>
        <v>71755.646226143392</v>
      </c>
      <c r="J56" s="25">
        <f t="shared" si="2"/>
        <v>405874.22427457757</v>
      </c>
      <c r="R56" s="25">
        <f>300*(Population!AE57+Population!AG57)</f>
        <v>1651565.2770850388</v>
      </c>
      <c r="S56" s="25">
        <f>300*(Population!V57-Population!AE57)</f>
        <v>3046144.0534149357</v>
      </c>
      <c r="T56">
        <f>17000*'Agricultural production'!X57</f>
        <v>1173000</v>
      </c>
      <c r="U56" s="25">
        <f t="shared" si="3"/>
        <v>5870709.3304999741</v>
      </c>
      <c r="Z56" s="25">
        <f t="shared" si="4"/>
        <v>5475095.9399999995</v>
      </c>
      <c r="AC56" s="25">
        <f t="shared" si="0"/>
        <v>4119724.3815452713</v>
      </c>
      <c r="AD56" s="30">
        <f t="shared" si="5"/>
        <v>4703386.0311968392</v>
      </c>
      <c r="AE56" s="33"/>
    </row>
    <row r="57" spans="1:31" x14ac:dyDescent="0.2">
      <c r="A57">
        <v>1755</v>
      </c>
      <c r="B57">
        <v>6852</v>
      </c>
      <c r="C57">
        <v>37624</v>
      </c>
      <c r="D57">
        <v>205263</v>
      </c>
      <c r="E57">
        <v>414</v>
      </c>
      <c r="F57" s="24">
        <v>1.5345352922631639</v>
      </c>
      <c r="G57" s="24">
        <v>2.0329039526291539</v>
      </c>
      <c r="H57" s="24">
        <v>2.0538007618041068</v>
      </c>
      <c r="I57" s="25">
        <f t="shared" si="1"/>
        <v>76485.978313719286</v>
      </c>
      <c r="J57" s="25">
        <f t="shared" si="2"/>
        <v>421569.30577019637</v>
      </c>
      <c r="R57" s="25">
        <f>300*(Population!AE58+Population!AG58)</f>
        <v>1606785.6961076027</v>
      </c>
      <c r="S57" s="25">
        <f>300*(Population!V58-Population!AE58)</f>
        <v>2985846.8304535979</v>
      </c>
      <c r="T57">
        <f>17000*'Agricultural production'!X58</f>
        <v>1190000</v>
      </c>
      <c r="U57" s="25">
        <f t="shared" si="3"/>
        <v>5782632.5265612006</v>
      </c>
      <c r="Z57" s="25">
        <f t="shared" si="4"/>
        <v>5743023.1799999997</v>
      </c>
      <c r="AC57" s="25">
        <f t="shared" si="0"/>
        <v>4298393.3537754705</v>
      </c>
      <c r="AD57" s="30">
        <f t="shared" si="5"/>
        <v>4793139.7447040472</v>
      </c>
      <c r="AE57" s="33"/>
    </row>
    <row r="58" spans="1:31" x14ac:dyDescent="0.2">
      <c r="A58">
        <v>1756</v>
      </c>
      <c r="B58">
        <v>7043</v>
      </c>
      <c r="C58">
        <v>36420</v>
      </c>
      <c r="D58">
        <v>198132</v>
      </c>
      <c r="E58">
        <v>425</v>
      </c>
      <c r="F58" s="24">
        <v>1.4604807620252305</v>
      </c>
      <c r="G58" s="24">
        <v>2.086286970226793</v>
      </c>
      <c r="H58" s="24">
        <v>2.0285255805628077</v>
      </c>
      <c r="I58" s="25">
        <f t="shared" si="1"/>
        <v>75982.571455659796</v>
      </c>
      <c r="J58" s="25">
        <f t="shared" si="2"/>
        <v>401915.83032807021</v>
      </c>
      <c r="R58" s="25">
        <f>300*(Population!AE59+Population!AG59)</f>
        <v>1532868.3665904962</v>
      </c>
      <c r="S58" s="25">
        <f>300*(Population!V59-Population!AE59)</f>
        <v>2790839.978382532</v>
      </c>
      <c r="T58">
        <f>17000*'Agricultural production'!X59</f>
        <v>935000</v>
      </c>
      <c r="U58" s="25">
        <f t="shared" si="3"/>
        <v>5258708.3449730277</v>
      </c>
      <c r="Z58" s="25">
        <f t="shared" si="4"/>
        <v>5546722.3200000003</v>
      </c>
      <c r="AC58" s="25">
        <f t="shared" si="0"/>
        <v>4128320.4321668223</v>
      </c>
      <c r="AD58" s="30">
        <f t="shared" si="5"/>
        <v>4505116.4031022238</v>
      </c>
      <c r="AE58" s="33"/>
    </row>
    <row r="59" spans="1:31" x14ac:dyDescent="0.2">
      <c r="A59">
        <v>1757</v>
      </c>
      <c r="B59">
        <v>7062</v>
      </c>
      <c r="C59">
        <v>35783</v>
      </c>
      <c r="D59">
        <v>192988</v>
      </c>
      <c r="E59">
        <v>356</v>
      </c>
      <c r="F59" s="24">
        <v>1.3900000000000001</v>
      </c>
      <c r="G59" s="24">
        <v>2.1410717985514678</v>
      </c>
      <c r="H59" s="24">
        <v>2.0035614493506353</v>
      </c>
      <c r="I59" s="25">
        <f t="shared" si="1"/>
        <v>76613.972167567175</v>
      </c>
      <c r="J59" s="25">
        <f t="shared" si="2"/>
        <v>386663.31698728038</v>
      </c>
      <c r="R59" s="25">
        <f>300*(Population!AE60+Population!AG60)</f>
        <v>1559009.2033231261</v>
      </c>
      <c r="S59" s="25">
        <f>300*(Population!V60-Population!AE60)</f>
        <v>2886339.8004714344</v>
      </c>
      <c r="T59">
        <f>17000*'Agricultural production'!X60</f>
        <v>969000</v>
      </c>
      <c r="U59" s="25">
        <f t="shared" si="3"/>
        <v>5414349.0037945602</v>
      </c>
      <c r="Z59" s="25">
        <f t="shared" si="4"/>
        <v>5412342.4799999995</v>
      </c>
      <c r="AC59" s="25">
        <f t="shared" si="0"/>
        <v>4006450.18715207</v>
      </c>
      <c r="AD59" s="30">
        <f t="shared" si="5"/>
        <v>4475749.792699567</v>
      </c>
      <c r="AE59" s="33"/>
    </row>
    <row r="60" spans="1:31" x14ac:dyDescent="0.2">
      <c r="A60">
        <v>1758</v>
      </c>
      <c r="B60">
        <v>7302</v>
      </c>
      <c r="C60">
        <v>34586</v>
      </c>
      <c r="D60" s="9">
        <v>191812</v>
      </c>
      <c r="E60">
        <v>340</v>
      </c>
      <c r="F60" s="24">
        <v>1.3651255163892415</v>
      </c>
      <c r="G60" s="24">
        <v>2.1424773673997435</v>
      </c>
      <c r="H60" s="24">
        <v>2.0483214924592428</v>
      </c>
      <c r="I60" s="25">
        <f t="shared" si="1"/>
        <v>74099.722228887535</v>
      </c>
      <c r="J60" s="25">
        <f t="shared" si="2"/>
        <v>392892.64211159229</v>
      </c>
      <c r="R60" s="25">
        <f>300*(Population!AE61+Population!AG61)</f>
        <v>1649137.4489759188</v>
      </c>
      <c r="S60" s="25">
        <f>300*(Population!V61-Population!AE61)</f>
        <v>2983698.9222606816</v>
      </c>
      <c r="T60">
        <f>17000*'Agricultural production'!X61</f>
        <v>1122000</v>
      </c>
      <c r="U60" s="25">
        <f t="shared" si="3"/>
        <v>5754836.3712366</v>
      </c>
      <c r="Z60" s="25">
        <f t="shared" si="4"/>
        <v>5348818.32</v>
      </c>
      <c r="AC60" s="25">
        <f t="shared" si="0"/>
        <v>4033885.4438033621</v>
      </c>
      <c r="AD60" s="30">
        <f t="shared" si="5"/>
        <v>4607535.7529477747</v>
      </c>
      <c r="AE60" s="33"/>
    </row>
    <row r="61" spans="1:31" x14ac:dyDescent="0.2">
      <c r="A61">
        <v>1759</v>
      </c>
      <c r="B61">
        <v>7835</v>
      </c>
      <c r="C61">
        <v>34571</v>
      </c>
      <c r="D61">
        <v>200217</v>
      </c>
      <c r="E61">
        <v>396</v>
      </c>
      <c r="F61" s="24">
        <v>1.3406961694222976</v>
      </c>
      <c r="G61" s="24">
        <v>2.1438838589745655</v>
      </c>
      <c r="H61" s="24">
        <v>2.0940814856615857</v>
      </c>
      <c r="I61" s="25">
        <f t="shared" si="1"/>
        <v>74116.208888609704</v>
      </c>
      <c r="J61" s="25">
        <f t="shared" si="2"/>
        <v>419270.71281470568</v>
      </c>
      <c r="R61" s="25">
        <f>300*(Population!AE62+Population!AG62)</f>
        <v>1704534.4134698126</v>
      </c>
      <c r="S61" s="25">
        <f>300*(Population!V62-Population!AE62)</f>
        <v>3030596.9313036115</v>
      </c>
      <c r="T61">
        <f>17000*'Agricultural production'!X62</f>
        <v>1207000</v>
      </c>
      <c r="U61" s="25">
        <f t="shared" si="3"/>
        <v>5942131.3447734239</v>
      </c>
      <c r="Z61" s="25">
        <f t="shared" si="4"/>
        <v>5535445.6200000001</v>
      </c>
      <c r="AC61" s="25">
        <f t="shared" si="0"/>
        <v>4255624.4556407649</v>
      </c>
      <c r="AD61" s="30">
        <f t="shared" si="5"/>
        <v>4817793.4186849846</v>
      </c>
      <c r="AE61" s="33"/>
    </row>
    <row r="62" spans="1:31" x14ac:dyDescent="0.2">
      <c r="A62">
        <v>1760</v>
      </c>
      <c r="B62">
        <v>8240</v>
      </c>
      <c r="C62">
        <v>34282</v>
      </c>
      <c r="D62">
        <v>203635</v>
      </c>
      <c r="E62">
        <v>334</v>
      </c>
      <c r="F62" s="24">
        <v>1.3167039932400662</v>
      </c>
      <c r="G62" s="24">
        <v>2.1452912738816852</v>
      </c>
      <c r="H62" s="24">
        <v>2.1408637680824856</v>
      </c>
      <c r="I62" s="25">
        <f t="shared" si="1"/>
        <v>73544.875451211934</v>
      </c>
      <c r="J62" s="25">
        <f t="shared" si="2"/>
        <v>435954.79341347696</v>
      </c>
      <c r="R62" s="25">
        <f>300*(Population!AE63+Population!AG63)</f>
        <v>1759523.3399960645</v>
      </c>
      <c r="S62" s="25">
        <f>300*(Population!V63-Population!AE63)</f>
        <v>3157654.1689903173</v>
      </c>
      <c r="T62">
        <f>17000*'Agricultural production'!X63</f>
        <v>1224000</v>
      </c>
      <c r="U62" s="25">
        <f t="shared" si="3"/>
        <v>6141177.5089863818</v>
      </c>
      <c r="Z62" s="25">
        <f t="shared" si="4"/>
        <v>5602513.5</v>
      </c>
      <c r="AC62" s="25">
        <f t="shared" si="0"/>
        <v>4390114.5316402046</v>
      </c>
      <c r="AD62" s="30">
        <f t="shared" si="5"/>
        <v>4973802.1907555973</v>
      </c>
      <c r="AE62" s="33"/>
    </row>
    <row r="63" spans="1:31" x14ac:dyDescent="0.2">
      <c r="A63">
        <v>1761</v>
      </c>
      <c r="B63">
        <v>7298</v>
      </c>
      <c r="C63">
        <v>33363</v>
      </c>
      <c r="D63">
        <v>198913</v>
      </c>
      <c r="E63">
        <v>493</v>
      </c>
      <c r="F63" s="24">
        <v>1.2931411645349797</v>
      </c>
      <c r="G63" s="24">
        <v>2.1466996127272506</v>
      </c>
      <c r="H63" s="24">
        <v>2.1886911779081664</v>
      </c>
      <c r="I63" s="25">
        <f t="shared" si="1"/>
        <v>71620.339179419258</v>
      </c>
      <c r="J63" s="25">
        <f t="shared" si="2"/>
        <v>435359.12827124709</v>
      </c>
      <c r="R63" s="25">
        <f>300*(Population!AE64+Population!AG64)</f>
        <v>1778836.1496756896</v>
      </c>
      <c r="S63" s="25">
        <f>300*(Population!V64-Population!AE64)</f>
        <v>3241409.7278410946</v>
      </c>
      <c r="T63">
        <f>17000*'Agricultural production'!X64</f>
        <v>1207000</v>
      </c>
      <c r="U63" s="25">
        <f t="shared" si="3"/>
        <v>6227245.8775167838</v>
      </c>
      <c r="Z63" s="25">
        <f t="shared" si="4"/>
        <v>5468728.9799999995</v>
      </c>
      <c r="AC63" s="25">
        <f t="shared" si="0"/>
        <v>4366058.0353547269</v>
      </c>
      <c r="AD63" s="30">
        <f t="shared" si="5"/>
        <v>4986453.9827420795</v>
      </c>
      <c r="AE63" s="33"/>
    </row>
    <row r="64" spans="1:31" x14ac:dyDescent="0.2">
      <c r="A64">
        <v>1762</v>
      </c>
      <c r="B64">
        <v>8457</v>
      </c>
      <c r="C64">
        <v>33575</v>
      </c>
      <c r="D64">
        <v>198512</v>
      </c>
      <c r="E64">
        <v>354</v>
      </c>
      <c r="F64" s="24">
        <v>1.2699999999999998</v>
      </c>
      <c r="G64" s="24">
        <v>2.1481088761178091</v>
      </c>
      <c r="H64" s="24">
        <v>2.2375870635354072</v>
      </c>
      <c r="I64" s="25">
        <f t="shared" si="1"/>
        <v>72122.755515655444</v>
      </c>
      <c r="J64" s="25">
        <f t="shared" si="2"/>
        <v>444187.88315654075</v>
      </c>
      <c r="R64" s="25">
        <f>300*(Population!AE65+Population!AG65)</f>
        <v>1820436.6287633753</v>
      </c>
      <c r="S64" s="25">
        <f>300*(Population!V65-Population!AE65)</f>
        <v>3316736.0800569891</v>
      </c>
      <c r="T64">
        <f>17000*'Agricultural production'!X65</f>
        <v>1003000</v>
      </c>
      <c r="U64" s="25">
        <f t="shared" si="3"/>
        <v>6140172.7088203654</v>
      </c>
      <c r="Z64" s="25">
        <f t="shared" si="4"/>
        <v>5466417.1200000001</v>
      </c>
      <c r="AC64" s="25">
        <f t="shared" si="0"/>
        <v>4445193.4981199317</v>
      </c>
      <c r="AD64" s="30">
        <f t="shared" si="5"/>
        <v>5010186.5683534099</v>
      </c>
      <c r="AE64" s="33"/>
    </row>
    <row r="65" spans="1:31" x14ac:dyDescent="0.2">
      <c r="A65">
        <v>1763</v>
      </c>
      <c r="B65">
        <v>5329</v>
      </c>
      <c r="C65">
        <v>33523</v>
      </c>
      <c r="D65">
        <v>199339</v>
      </c>
      <c r="E65">
        <v>333</v>
      </c>
      <c r="F65" s="24">
        <v>1.3288355154566014</v>
      </c>
      <c r="G65" s="24">
        <v>2.2254348146673992</v>
      </c>
      <c r="H65" s="24">
        <v>2.2751771247595216</v>
      </c>
      <c r="I65" s="25">
        <f t="shared" si="1"/>
        <v>74603.251292095229</v>
      </c>
      <c r="J65" s="25">
        <f t="shared" si="2"/>
        <v>453531.53287243826</v>
      </c>
      <c r="R65" s="25">
        <f>300*(Population!AE66+Population!AG66)</f>
        <v>1911500.4086094652</v>
      </c>
      <c r="S65" s="25">
        <f>300*(Population!V66-Population!AE66)</f>
        <v>3478876.1640631873</v>
      </c>
      <c r="T65">
        <f>17000*'Agricultural production'!X66</f>
        <v>1224000</v>
      </c>
      <c r="U65" s="25">
        <f t="shared" si="3"/>
        <v>6614376.5726726521</v>
      </c>
      <c r="Z65" s="25">
        <f t="shared" si="4"/>
        <v>5483203.7399999993</v>
      </c>
      <c r="AC65" s="25">
        <f t="shared" si="0"/>
        <v>4548237.0639202241</v>
      </c>
      <c r="AD65" s="30">
        <f t="shared" si="5"/>
        <v>5236950.2335043671</v>
      </c>
      <c r="AE65" s="33"/>
    </row>
    <row r="66" spans="1:31" x14ac:dyDescent="0.2">
      <c r="A66">
        <v>1764</v>
      </c>
      <c r="B66">
        <v>6077</v>
      </c>
      <c r="C66">
        <v>33424</v>
      </c>
      <c r="D66">
        <v>201052</v>
      </c>
      <c r="E66">
        <v>317</v>
      </c>
      <c r="F66" s="24">
        <v>1.3903967142825291</v>
      </c>
      <c r="G66" s="24">
        <v>2.3055442717057644</v>
      </c>
      <c r="H66" s="24">
        <v>2.3133986754688314</v>
      </c>
      <c r="I66" s="25">
        <f t="shared" si="1"/>
        <v>77060.511737493463</v>
      </c>
      <c r="J66" s="25">
        <f t="shared" si="2"/>
        <v>465113.43050035951</v>
      </c>
      <c r="R66" s="25">
        <f>300*(Population!AE67+Population!AG67)</f>
        <v>2029345.0709995974</v>
      </c>
      <c r="S66" s="25">
        <f>300*(Population!V67-Population!AE67)</f>
        <v>3673511.3463089592</v>
      </c>
      <c r="T66">
        <f>17000*'Agricultural production'!X67</f>
        <v>1326000</v>
      </c>
      <c r="U66" s="25">
        <f t="shared" si="3"/>
        <v>7028856.4173085568</v>
      </c>
      <c r="Z66" s="25">
        <f t="shared" si="4"/>
        <v>5518246.3200000003</v>
      </c>
      <c r="AC66" s="25">
        <f t="shared" si="0"/>
        <v>4669851.8824042054</v>
      </c>
      <c r="AD66" s="30">
        <f t="shared" si="5"/>
        <v>5456186.7273723222</v>
      </c>
      <c r="AE66" s="33"/>
    </row>
    <row r="67" spans="1:31" x14ac:dyDescent="0.2">
      <c r="A67">
        <v>1765</v>
      </c>
      <c r="B67">
        <v>6207</v>
      </c>
      <c r="C67">
        <v>33986</v>
      </c>
      <c r="D67">
        <v>204429</v>
      </c>
      <c r="E67">
        <v>341</v>
      </c>
      <c r="F67" s="24">
        <v>1.4548098696951104</v>
      </c>
      <c r="G67" s="24">
        <v>2.3885374461483351</v>
      </c>
      <c r="H67" s="24">
        <v>2.352262324291174</v>
      </c>
      <c r="I67" s="25">
        <f t="shared" si="1"/>
        <v>81176.833644797312</v>
      </c>
      <c r="J67" s="25">
        <f t="shared" si="2"/>
        <v>480870.63469252043</v>
      </c>
      <c r="R67" s="25">
        <f>300*(Population!AE68+Population!AG68)</f>
        <v>1970753.6516011052</v>
      </c>
      <c r="S67" s="25">
        <f>300*(Population!V68-Population!AE68)</f>
        <v>3705338.2687148484</v>
      </c>
      <c r="T67">
        <f>17000*'Agricultural production'!X68</f>
        <v>1139000</v>
      </c>
      <c r="U67" s="25">
        <f t="shared" si="3"/>
        <v>6815091.9203159539</v>
      </c>
      <c r="Z67" s="25">
        <f t="shared" si="4"/>
        <v>5610952.7400000002</v>
      </c>
      <c r="AC67" s="25">
        <f t="shared" ref="AC67:AC91" si="6">+I67*300*0.033+J67*42*0.2</f>
        <v>4842963.9845006652</v>
      </c>
      <c r="AD67" s="30">
        <f t="shared" si="5"/>
        <v>5500339.9631057614</v>
      </c>
      <c r="AE67" s="33"/>
    </row>
    <row r="68" spans="1:31" x14ac:dyDescent="0.2">
      <c r="A68">
        <v>1766</v>
      </c>
      <c r="B68">
        <v>5487</v>
      </c>
      <c r="C68">
        <v>34849</v>
      </c>
      <c r="D68">
        <v>217361</v>
      </c>
      <c r="E68">
        <v>339</v>
      </c>
      <c r="F68" s="24">
        <v>1.5222071047934278</v>
      </c>
      <c r="G68" s="24">
        <v>2.4745181437925132</v>
      </c>
      <c r="H68" s="24">
        <v>2.3917788580726911</v>
      </c>
      <c r="I68" s="25">
        <f t="shared" ref="I68:I97" si="7">+G68*C68</f>
        <v>86234.482793025294</v>
      </c>
      <c r="J68" s="25">
        <f t="shared" ref="J68:J97" si="8">+H68*D68</f>
        <v>519879.44436953822</v>
      </c>
      <c r="R68" s="25">
        <f>300*(Population!AE69+Population!AG69)</f>
        <v>2159347.5506875678</v>
      </c>
      <c r="S68" s="25">
        <f>300*(Population!V69-Population!AE69)</f>
        <v>4052589.8406093046</v>
      </c>
      <c r="T68">
        <f>17000*'Agricultural production'!X69</f>
        <v>1088000</v>
      </c>
      <c r="U68" s="25">
        <f t="shared" ref="U68:U97" si="9">+T68+S68+R68</f>
        <v>7299937.3912968729</v>
      </c>
      <c r="Z68" s="25">
        <f t="shared" ref="Z68:Z96" si="10">0.53*D68*42+0.104*C68*300</f>
        <v>5925744.6600000001</v>
      </c>
      <c r="AC68" s="25">
        <f t="shared" si="6"/>
        <v>5220708.7123550717</v>
      </c>
      <c r="AD68" s="30">
        <f t="shared" ref="AD68:AD97" si="11">+(U68+2*AC68)/3</f>
        <v>5913784.9386690063</v>
      </c>
      <c r="AE68" s="33"/>
    </row>
    <row r="69" spans="1:31" x14ac:dyDescent="0.2">
      <c r="A69">
        <v>1767</v>
      </c>
      <c r="B69">
        <v>7006</v>
      </c>
      <c r="C69">
        <v>36160</v>
      </c>
      <c r="D69">
        <v>238992</v>
      </c>
      <c r="E69">
        <v>414</v>
      </c>
      <c r="F69" s="24">
        <v>1.5927266635668318</v>
      </c>
      <c r="G69" s="24">
        <v>2.5635939071553815</v>
      </c>
      <c r="H69" s="24">
        <v>2.4319592448717815</v>
      </c>
      <c r="I69" s="25">
        <f t="shared" si="7"/>
        <v>92699.555682738588</v>
      </c>
      <c r="J69" s="25">
        <f t="shared" si="8"/>
        <v>581218.80385039677</v>
      </c>
      <c r="R69" s="25">
        <f>300*(Population!AE70+Population!AG70)</f>
        <v>2070249.9864232817</v>
      </c>
      <c r="S69" s="25">
        <f>300*(Population!V70-Population!AE70)</f>
        <v>3852723.3294768864</v>
      </c>
      <c r="T69">
        <f>17000*'Agricultural production'!X70</f>
        <v>1275000</v>
      </c>
      <c r="U69" s="25">
        <f t="shared" si="9"/>
        <v>7197973.3159001684</v>
      </c>
      <c r="Z69" s="25">
        <f t="shared" si="10"/>
        <v>6448153.9199999999</v>
      </c>
      <c r="AC69" s="25">
        <f t="shared" si="6"/>
        <v>5799963.5536024449</v>
      </c>
      <c r="AD69" s="30">
        <f t="shared" si="11"/>
        <v>6265966.8077016855</v>
      </c>
      <c r="AE69" s="33"/>
    </row>
    <row r="70" spans="1:31" x14ac:dyDescent="0.2">
      <c r="A70">
        <v>1768</v>
      </c>
      <c r="B70">
        <v>7004</v>
      </c>
      <c r="C70">
        <v>36786</v>
      </c>
      <c r="D70">
        <v>250978</v>
      </c>
      <c r="E70">
        <v>500</v>
      </c>
      <c r="F70" s="24">
        <v>1.6665131944585074</v>
      </c>
      <c r="G70" s="24">
        <v>2.6558761499852039</v>
      </c>
      <c r="H70" s="24">
        <v>2.4728146370033577</v>
      </c>
      <c r="I70" s="25">
        <f t="shared" si="7"/>
        <v>97699.060053355715</v>
      </c>
      <c r="J70" s="25">
        <f t="shared" si="8"/>
        <v>620622.07196582865</v>
      </c>
      <c r="R70" s="25">
        <f>300*(Population!AE71+Population!AG71)</f>
        <v>2079403.3723751029</v>
      </c>
      <c r="S70" s="25">
        <f>300*(Population!V71-Population!AE71)</f>
        <v>3867396.6422027973</v>
      </c>
      <c r="T70">
        <f>17000*'Agricultural production'!X71</f>
        <v>1122000</v>
      </c>
      <c r="U70" s="25">
        <f t="shared" si="9"/>
        <v>7068800.0145779001</v>
      </c>
      <c r="Z70" s="25">
        <f t="shared" si="10"/>
        <v>6734493.4800000004</v>
      </c>
      <c r="AC70" s="25">
        <f t="shared" si="6"/>
        <v>6180446.0990411825</v>
      </c>
      <c r="AD70" s="30">
        <f t="shared" si="11"/>
        <v>6476564.0708867544</v>
      </c>
      <c r="AE70" s="33"/>
    </row>
    <row r="71" spans="1:31" x14ac:dyDescent="0.2">
      <c r="A71">
        <v>1769</v>
      </c>
      <c r="B71">
        <v>7437</v>
      </c>
      <c r="C71">
        <v>38012</v>
      </c>
      <c r="D71">
        <v>244558</v>
      </c>
      <c r="E71">
        <v>569</v>
      </c>
      <c r="F71" s="24">
        <v>1.743718047065747</v>
      </c>
      <c r="G71" s="24">
        <v>2.7514802966149743</v>
      </c>
      <c r="H71" s="24">
        <v>2.5143563741342354</v>
      </c>
      <c r="I71" s="25">
        <f t="shared" si="7"/>
        <v>104589.26903492841</v>
      </c>
      <c r="J71" s="25">
        <f t="shared" si="8"/>
        <v>614905.96614552033</v>
      </c>
      <c r="R71" s="25">
        <f>300*(Population!AE72+Population!AG72)</f>
        <v>2170145.8339165626</v>
      </c>
      <c r="S71" s="25">
        <f>300*(Population!V72-Population!AE72)</f>
        <v>3951691.4223580109</v>
      </c>
      <c r="T71">
        <f>17000*'Agricultural production'!X72</f>
        <v>1564000</v>
      </c>
      <c r="U71" s="25">
        <f t="shared" si="9"/>
        <v>7685837.2562745735</v>
      </c>
      <c r="Z71" s="25">
        <f t="shared" si="10"/>
        <v>6629835.4800000004</v>
      </c>
      <c r="AC71" s="25">
        <f t="shared" si="6"/>
        <v>6200643.8790681623</v>
      </c>
      <c r="AD71" s="30">
        <f t="shared" si="11"/>
        <v>6695708.3381369663</v>
      </c>
      <c r="AE71" s="33"/>
    </row>
    <row r="72" spans="1:31" x14ac:dyDescent="0.2">
      <c r="A72">
        <v>1770</v>
      </c>
      <c r="B72">
        <v>7883</v>
      </c>
      <c r="C72">
        <v>37357</v>
      </c>
      <c r="D72">
        <v>258250</v>
      </c>
      <c r="E72">
        <v>456</v>
      </c>
      <c r="F72" s="24">
        <v>1.8244995825855044</v>
      </c>
      <c r="G72" s="24">
        <v>2.8505259263322968</v>
      </c>
      <c r="H72" s="24">
        <v>2.5565959864305339</v>
      </c>
      <c r="I72" s="25">
        <f t="shared" si="7"/>
        <v>106487.09702999561</v>
      </c>
      <c r="J72" s="25">
        <f t="shared" si="8"/>
        <v>660240.91349568532</v>
      </c>
      <c r="R72" s="25">
        <f>300*(Population!AE73+Population!AG73)</f>
        <v>2175792.6657698103</v>
      </c>
      <c r="S72" s="25">
        <f>300*(Population!V73-Population!AE73)</f>
        <v>4033593.3006091467</v>
      </c>
      <c r="T72">
        <f>17000*'Agricultural production'!X73</f>
        <v>1326000</v>
      </c>
      <c r="U72" s="25">
        <f t="shared" si="9"/>
        <v>7535385.966378957</v>
      </c>
      <c r="Z72" s="25">
        <f t="shared" si="10"/>
        <v>6914183.4000000004</v>
      </c>
      <c r="AC72" s="25">
        <f t="shared" si="6"/>
        <v>6600245.9339607134</v>
      </c>
      <c r="AD72" s="30">
        <f t="shared" si="11"/>
        <v>6911959.2781001283</v>
      </c>
      <c r="AE72" s="33"/>
    </row>
    <row r="73" spans="1:31" x14ac:dyDescent="0.2">
      <c r="A73">
        <v>1771</v>
      </c>
      <c r="B73">
        <v>8188</v>
      </c>
      <c r="C73">
        <v>37977</v>
      </c>
      <c r="D73">
        <v>264943</v>
      </c>
      <c r="E73">
        <v>387</v>
      </c>
      <c r="F73" s="24">
        <v>1.9090234986420187</v>
      </c>
      <c r="G73" s="24">
        <v>2.9531369229461837</v>
      </c>
      <c r="H73" s="24">
        <v>2.5995451977579376</v>
      </c>
      <c r="I73" s="25">
        <f t="shared" si="7"/>
        <v>112151.28092272722</v>
      </c>
      <c r="J73" s="25">
        <f t="shared" si="8"/>
        <v>688731.30332958128</v>
      </c>
      <c r="R73" s="25">
        <f>300*(Population!AE74+Population!AG74)</f>
        <v>2393687.9842655575</v>
      </c>
      <c r="S73" s="25">
        <f>300*(Population!V74-Population!AE74)</f>
        <v>4198707.6457314137</v>
      </c>
      <c r="T73">
        <f>17000*'Agricultural production'!X74</f>
        <v>1598000</v>
      </c>
      <c r="U73" s="25">
        <f t="shared" si="9"/>
        <v>8190395.6299969712</v>
      </c>
      <c r="Z73" s="25">
        <f t="shared" si="10"/>
        <v>7082513.5800000001</v>
      </c>
      <c r="AC73" s="25">
        <f t="shared" si="6"/>
        <v>6895640.6291034827</v>
      </c>
      <c r="AD73" s="30">
        <f t="shared" si="11"/>
        <v>7327225.6294013122</v>
      </c>
      <c r="AE73" s="33"/>
    </row>
    <row r="74" spans="1:31" x14ac:dyDescent="0.2">
      <c r="A74">
        <v>1772</v>
      </c>
      <c r="B74">
        <v>8514</v>
      </c>
      <c r="C74">
        <v>38665</v>
      </c>
      <c r="D74">
        <v>271002</v>
      </c>
      <c r="E74">
        <v>432</v>
      </c>
      <c r="F74" s="24">
        <v>1.9974631691627811</v>
      </c>
      <c r="G74" s="24">
        <v>3.059441629737842</v>
      </c>
      <c r="H74" s="24">
        <v>2.6432159289357355</v>
      </c>
      <c r="I74" s="25">
        <f t="shared" si="7"/>
        <v>118293.31061381366</v>
      </c>
      <c r="J74" s="25">
        <f t="shared" si="8"/>
        <v>716316.80317344225</v>
      </c>
      <c r="R74" s="25">
        <f>300*(Population!AE75+Population!AG75)</f>
        <v>2493162.7378851864</v>
      </c>
      <c r="S74" s="25">
        <f>300*(Population!V75-Population!AE75)</f>
        <v>4321506.1624099575</v>
      </c>
      <c r="T74">
        <f>17000*'Agricultural production'!X75</f>
        <v>2006000</v>
      </c>
      <c r="U74" s="25">
        <f t="shared" si="9"/>
        <v>8820668.9002951439</v>
      </c>
      <c r="Z74" s="25">
        <f t="shared" si="10"/>
        <v>7238852.5199999996</v>
      </c>
      <c r="AC74" s="25">
        <f t="shared" si="6"/>
        <v>7188164.9217336709</v>
      </c>
      <c r="AD74" s="30">
        <f t="shared" si="11"/>
        <v>7732332.9145874949</v>
      </c>
      <c r="AE74" s="33"/>
    </row>
    <row r="75" spans="1:31" x14ac:dyDescent="0.2">
      <c r="A75">
        <v>1773</v>
      </c>
      <c r="B75">
        <v>9061</v>
      </c>
      <c r="C75">
        <v>39019</v>
      </c>
      <c r="D75">
        <v>285094</v>
      </c>
      <c r="E75">
        <v>354</v>
      </c>
      <c r="F75" s="24">
        <v>2.0900000000000012</v>
      </c>
      <c r="G75" s="24">
        <v>3.1695730099892554</v>
      </c>
      <c r="H75" s="24">
        <v>2.6876203010455115</v>
      </c>
      <c r="I75" s="25">
        <f t="shared" si="7"/>
        <v>123673.56927677075</v>
      </c>
      <c r="J75" s="25">
        <f t="shared" si="8"/>
        <v>766224.42210626905</v>
      </c>
      <c r="R75" s="25">
        <f>300*(Population!AE76+Population!AG76)</f>
        <v>2509411.0369986705</v>
      </c>
      <c r="S75" s="25">
        <f>300*(Population!V76-Population!AE76)</f>
        <v>4421191.0528528914</v>
      </c>
      <c r="T75">
        <f>17000*'Agricultural production'!X76</f>
        <v>1921000</v>
      </c>
      <c r="U75" s="25">
        <f t="shared" si="9"/>
        <v>8851602.0898515619</v>
      </c>
      <c r="Z75" s="25">
        <f t="shared" si="10"/>
        <v>7563585.2400000002</v>
      </c>
      <c r="AC75" s="25">
        <f t="shared" si="6"/>
        <v>7660653.481532691</v>
      </c>
      <c r="AD75" s="30">
        <f t="shared" si="11"/>
        <v>8057636.3509723144</v>
      </c>
      <c r="AE75" s="33"/>
    </row>
    <row r="76" spans="1:31" x14ac:dyDescent="0.2">
      <c r="A76">
        <v>1774</v>
      </c>
      <c r="B76">
        <v>9438</v>
      </c>
      <c r="C76" s="8">
        <v>40923</v>
      </c>
      <c r="D76">
        <v>312855</v>
      </c>
      <c r="E76">
        <v>319</v>
      </c>
      <c r="F76" s="24">
        <v>2.0900000000000012</v>
      </c>
      <c r="G76" s="24">
        <f>+G75</f>
        <v>3.1695730099892554</v>
      </c>
      <c r="H76" s="24">
        <f>+H75</f>
        <v>2.6876203010455115</v>
      </c>
      <c r="I76" s="25">
        <f t="shared" si="7"/>
        <v>129708.4362877903</v>
      </c>
      <c r="J76" s="25">
        <f t="shared" si="8"/>
        <v>840835.44928359357</v>
      </c>
      <c r="R76" s="25">
        <f>300*(Population!AE77+Population!AG77)</f>
        <v>2566686.440978148</v>
      </c>
      <c r="S76" s="25">
        <f>300*(Population!V77-Population!AE77)</f>
        <v>4595809.9745274186</v>
      </c>
      <c r="T76">
        <f>17000*'Agricultural production'!X77</f>
        <v>2142000</v>
      </c>
      <c r="U76" s="25">
        <f t="shared" si="9"/>
        <v>9304496.4155055657</v>
      </c>
      <c r="Z76" s="25">
        <f t="shared" si="10"/>
        <v>8240949.9000000004</v>
      </c>
      <c r="AC76" s="25">
        <f t="shared" si="6"/>
        <v>8347131.2932313113</v>
      </c>
      <c r="AD76" s="30">
        <f t="shared" si="11"/>
        <v>8666253.0006560627</v>
      </c>
      <c r="AE76" s="33"/>
    </row>
    <row r="77" spans="1:31" x14ac:dyDescent="0.2">
      <c r="A77">
        <v>1775</v>
      </c>
      <c r="B77">
        <v>9653</v>
      </c>
      <c r="C77">
        <v>44554</v>
      </c>
      <c r="D77">
        <v>302965</v>
      </c>
      <c r="E77">
        <v>421</v>
      </c>
      <c r="F77" s="24">
        <v>2.0900000000000012</v>
      </c>
      <c r="G77" s="24">
        <f t="shared" ref="G77:G97" si="12">+G76</f>
        <v>3.1695730099892554</v>
      </c>
      <c r="H77" s="24">
        <f t="shared" ref="H77:H97" si="13">+H76</f>
        <v>2.6876203010455115</v>
      </c>
      <c r="I77" s="25">
        <f t="shared" si="7"/>
        <v>141217.15588706129</v>
      </c>
      <c r="J77" s="25">
        <f t="shared" si="8"/>
        <v>814254.88450625341</v>
      </c>
      <c r="R77" s="25">
        <f>300*(Population!AE78+Population!AG78)</f>
        <v>2590680.8864194886</v>
      </c>
      <c r="S77" s="25">
        <f>300*(Population!V78-Population!AE78)</f>
        <v>4680656.0214317469</v>
      </c>
      <c r="T77">
        <f>17000*'Agricultural production'!X78</f>
        <v>2040000</v>
      </c>
      <c r="U77" s="25">
        <f t="shared" si="9"/>
        <v>9311336.9078512359</v>
      </c>
      <c r="Z77" s="25">
        <f t="shared" si="10"/>
        <v>8134085.7000000002</v>
      </c>
      <c r="AC77" s="25">
        <f t="shared" si="6"/>
        <v>8237790.8731344361</v>
      </c>
      <c r="AD77" s="30">
        <f t="shared" si="11"/>
        <v>8595639.55137337</v>
      </c>
      <c r="AE77" s="33"/>
    </row>
    <row r="78" spans="1:31" x14ac:dyDescent="0.2">
      <c r="A78">
        <v>1776</v>
      </c>
      <c r="B78">
        <v>9856.9999999999964</v>
      </c>
      <c r="C78">
        <v>50711</v>
      </c>
      <c r="D78">
        <v>353639</v>
      </c>
      <c r="E78">
        <v>308</v>
      </c>
      <c r="F78" s="24">
        <v>2.0900000000000012</v>
      </c>
      <c r="G78" s="24">
        <f t="shared" si="12"/>
        <v>3.1695730099892554</v>
      </c>
      <c r="H78" s="24">
        <f t="shared" si="13"/>
        <v>2.6876203010455115</v>
      </c>
      <c r="I78" s="25">
        <f t="shared" si="7"/>
        <v>160732.21690956512</v>
      </c>
      <c r="J78" s="25">
        <f t="shared" si="8"/>
        <v>950447.35564143362</v>
      </c>
      <c r="R78" s="25">
        <f>300*(Population!AE79+Population!AG79)</f>
        <v>2754450.0357983983</v>
      </c>
      <c r="S78" s="25">
        <f>300*(Population!V79-Population!AE79)</f>
        <v>4991613.2886061305</v>
      </c>
      <c r="T78">
        <f>17000*'Agricultural production'!X79</f>
        <v>2091000</v>
      </c>
      <c r="U78" s="25">
        <f t="shared" si="9"/>
        <v>9837063.3244045284</v>
      </c>
      <c r="Z78" s="25">
        <f t="shared" si="10"/>
        <v>9454187.3399999999</v>
      </c>
      <c r="AC78" s="25">
        <f t="shared" si="6"/>
        <v>9575006.7347927392</v>
      </c>
      <c r="AD78" s="30">
        <f t="shared" si="11"/>
        <v>9662358.9313300028</v>
      </c>
      <c r="AE78" s="33"/>
    </row>
    <row r="79" spans="1:31" x14ac:dyDescent="0.2">
      <c r="A79">
        <v>1777</v>
      </c>
      <c r="B79">
        <v>10060.122308722353</v>
      </c>
      <c r="C79">
        <v>64356</v>
      </c>
      <c r="D79">
        <v>397437</v>
      </c>
      <c r="E79">
        <v>390</v>
      </c>
      <c r="F79" s="24">
        <v>2.0900000000000012</v>
      </c>
      <c r="G79" s="24">
        <f t="shared" si="12"/>
        <v>3.1695730099892554</v>
      </c>
      <c r="H79" s="24">
        <f t="shared" si="13"/>
        <v>2.6876203010455115</v>
      </c>
      <c r="I79" s="25">
        <f t="shared" si="7"/>
        <v>203981.04063086852</v>
      </c>
      <c r="J79" s="25">
        <f t="shared" si="8"/>
        <v>1068159.749586625</v>
      </c>
      <c r="R79" s="25">
        <f>300*(Population!AE80+Population!AG80)</f>
        <v>2737376.6207162314</v>
      </c>
      <c r="S79" s="25">
        <f>300*(Population!V80-Population!AE80)</f>
        <v>5059156.5917166248</v>
      </c>
      <c r="T79">
        <f>17000*'Agricultural production'!X80</f>
        <v>1904000</v>
      </c>
      <c r="U79" s="25">
        <f t="shared" si="9"/>
        <v>9700533.2124328557</v>
      </c>
      <c r="Z79" s="25">
        <f t="shared" si="10"/>
        <v>10854854.82</v>
      </c>
      <c r="AC79" s="25">
        <f t="shared" si="6"/>
        <v>10991954.19877325</v>
      </c>
      <c r="AD79" s="30">
        <f t="shared" si="11"/>
        <v>10561480.536659785</v>
      </c>
      <c r="AE79" s="33"/>
    </row>
    <row r="80" spans="1:31" x14ac:dyDescent="0.2">
      <c r="A80">
        <v>1778</v>
      </c>
      <c r="B80">
        <v>10267.430340514682</v>
      </c>
      <c r="C80">
        <v>61961</v>
      </c>
      <c r="D80">
        <v>376433</v>
      </c>
      <c r="E80" t="s">
        <v>163</v>
      </c>
      <c r="F80" s="24">
        <v>2.0900000000000012</v>
      </c>
      <c r="G80" s="24">
        <f t="shared" si="12"/>
        <v>3.1695730099892554</v>
      </c>
      <c r="H80" s="24">
        <f t="shared" si="13"/>
        <v>2.6876203010455115</v>
      </c>
      <c r="I80" s="25">
        <f t="shared" si="7"/>
        <v>196389.91327194424</v>
      </c>
      <c r="J80" s="25">
        <f t="shared" si="8"/>
        <v>1011708.9727834651</v>
      </c>
      <c r="R80" s="25">
        <f>300*(Population!AE81+Population!AG81)</f>
        <v>2817403.2617117991</v>
      </c>
      <c r="S80" s="25">
        <f>300*(Population!V81-Population!AE81)</f>
        <v>5181188.0032718666</v>
      </c>
      <c r="T80">
        <f>17000*'Agricultural production'!X81</f>
        <v>1989000</v>
      </c>
      <c r="U80" s="25">
        <f t="shared" si="9"/>
        <v>9987591.2649836652</v>
      </c>
      <c r="Z80" s="25">
        <f t="shared" si="10"/>
        <v>10312581.780000001</v>
      </c>
      <c r="AC80" s="25">
        <f t="shared" si="6"/>
        <v>10442615.512773355</v>
      </c>
      <c r="AD80" s="30">
        <f t="shared" si="11"/>
        <v>10290940.763510125</v>
      </c>
      <c r="AE80" s="33"/>
    </row>
    <row r="81" spans="1:31" x14ac:dyDescent="0.2">
      <c r="A81">
        <v>1779</v>
      </c>
      <c r="B81">
        <v>10479.010350194232</v>
      </c>
      <c r="C81">
        <v>94957</v>
      </c>
      <c r="D81">
        <v>377814</v>
      </c>
      <c r="E81" t="s">
        <v>163</v>
      </c>
      <c r="F81" s="24">
        <v>2.0900000000000012</v>
      </c>
      <c r="G81" s="24">
        <f t="shared" si="12"/>
        <v>3.1695730099892554</v>
      </c>
      <c r="H81" s="24">
        <f t="shared" si="13"/>
        <v>2.6876203010455115</v>
      </c>
      <c r="I81" s="25">
        <f t="shared" si="7"/>
        <v>300973.14430954971</v>
      </c>
      <c r="J81" s="25">
        <f t="shared" si="8"/>
        <v>1015420.5764192089</v>
      </c>
      <c r="R81" s="25">
        <f>300*(Population!AE82+Population!AG82)</f>
        <v>2903974.0118903248</v>
      </c>
      <c r="S81" s="25">
        <f>300*(Population!V82-Population!AE82)</f>
        <v>5266452.0592515608</v>
      </c>
      <c r="T81">
        <f>17000*'Agricultural production'!X82</f>
        <v>1921000</v>
      </c>
      <c r="U81" s="25">
        <f t="shared" si="9"/>
        <v>10091426.071141886</v>
      </c>
      <c r="Z81" s="25">
        <f t="shared" si="10"/>
        <v>11372798.040000001</v>
      </c>
      <c r="AC81" s="25">
        <f t="shared" si="6"/>
        <v>11509166.970585898</v>
      </c>
      <c r="AD81" s="30">
        <f t="shared" si="11"/>
        <v>11036586.670771226</v>
      </c>
      <c r="AE81" s="33"/>
    </row>
    <row r="82" spans="1:31" x14ac:dyDescent="0.2">
      <c r="A82">
        <v>1780</v>
      </c>
      <c r="B82">
        <v>10694.950370023484</v>
      </c>
      <c r="C82">
        <v>63635</v>
      </c>
      <c r="D82">
        <v>355659</v>
      </c>
      <c r="E82" t="s">
        <v>163</v>
      </c>
      <c r="F82" s="24">
        <v>2.0900000000000012</v>
      </c>
      <c r="G82" s="24">
        <f t="shared" si="12"/>
        <v>3.1695730099892554</v>
      </c>
      <c r="H82" s="24">
        <f t="shared" si="13"/>
        <v>2.6876203010455115</v>
      </c>
      <c r="I82" s="25">
        <f t="shared" si="7"/>
        <v>201695.77849066627</v>
      </c>
      <c r="J82" s="25">
        <f t="shared" si="8"/>
        <v>955876.34864954557</v>
      </c>
      <c r="K82">
        <f>+C82*0.05</f>
        <v>3181.75</v>
      </c>
      <c r="L82">
        <f>+D82*0.25</f>
        <v>88914.75</v>
      </c>
      <c r="M82">
        <f>+K82*300</f>
        <v>954525</v>
      </c>
      <c r="N82">
        <f>+L82*42</f>
        <v>3734419.5</v>
      </c>
      <c r="O82">
        <f>+N82+M82</f>
        <v>4688944.5</v>
      </c>
      <c r="P82">
        <f>+N82/O82</f>
        <v>0.79643073190565594</v>
      </c>
      <c r="R82" s="25">
        <f>300*(Population!AE83+Population!AG83)</f>
        <v>2934629.6223397925</v>
      </c>
      <c r="S82" s="25">
        <f>300*(Population!V83-Population!AE83)</f>
        <v>5363810.707565872</v>
      </c>
      <c r="T82">
        <f>17000*'Agricultural production'!X83</f>
        <v>1836000</v>
      </c>
      <c r="U82" s="25">
        <f t="shared" si="9"/>
        <v>10134440.329905665</v>
      </c>
      <c r="V82">
        <f>+U82*0.8</f>
        <v>8107552.2639245316</v>
      </c>
      <c r="W82">
        <f>+(V82/42)/D82</f>
        <v>0.54275853743296187</v>
      </c>
      <c r="X82" s="25">
        <f>+U82-V82</f>
        <v>2026888.0659811329</v>
      </c>
      <c r="Y82">
        <f>+(X82/300)/C82</f>
        <v>0.10617260239287253</v>
      </c>
      <c r="Z82" s="25">
        <f t="shared" si="10"/>
        <v>9902381.3399999999</v>
      </c>
      <c r="AA82">
        <f>+W82/H82</f>
        <v>0.20194762527348945</v>
      </c>
      <c r="AB82">
        <f>+Y82/G82</f>
        <v>3.3497446519849199E-2</v>
      </c>
      <c r="AC82" s="25">
        <f t="shared" si="6"/>
        <v>10026149.535713781</v>
      </c>
      <c r="AD82" s="30">
        <f t="shared" si="11"/>
        <v>10062246.467111075</v>
      </c>
      <c r="AE82" s="33"/>
    </row>
    <row r="83" spans="1:31" x14ac:dyDescent="0.2">
      <c r="A83">
        <v>1781</v>
      </c>
      <c r="B83">
        <v>10915.340246337799</v>
      </c>
      <c r="C83" s="30">
        <v>60000</v>
      </c>
      <c r="D83" s="30">
        <v>330000</v>
      </c>
      <c r="F83" s="24">
        <v>2.0900000000000012</v>
      </c>
      <c r="G83" s="24">
        <f t="shared" si="12"/>
        <v>3.1695730099892554</v>
      </c>
      <c r="H83" s="24">
        <f t="shared" si="13"/>
        <v>2.6876203010455115</v>
      </c>
      <c r="I83" s="25">
        <f t="shared" si="7"/>
        <v>190174.38059935533</v>
      </c>
      <c r="J83" s="25">
        <f t="shared" si="8"/>
        <v>886914.69934501883</v>
      </c>
      <c r="K83">
        <f>+C83*0.05</f>
        <v>3000</v>
      </c>
      <c r="L83">
        <f>+D83*0.25</f>
        <v>82500</v>
      </c>
      <c r="M83">
        <f>+K83*300</f>
        <v>900000</v>
      </c>
      <c r="N83">
        <f>+L83*42</f>
        <v>3465000</v>
      </c>
      <c r="O83">
        <f>+N83+M83</f>
        <v>4365000</v>
      </c>
      <c r="P83">
        <f>+N83/O83</f>
        <v>0.79381443298969068</v>
      </c>
      <c r="Q83">
        <v>4750000</v>
      </c>
      <c r="R83" s="25">
        <f>300*(Population!AE84+Population!AG84)</f>
        <v>2897704.4216362429</v>
      </c>
      <c r="S83" s="25">
        <f>300*(Population!V84-Population!AE84)</f>
        <v>5334434.3470434407</v>
      </c>
      <c r="T83">
        <f>17000*'Agricultural production'!X84</f>
        <v>1496000</v>
      </c>
      <c r="U83" s="25">
        <f t="shared" si="9"/>
        <v>9728138.768679684</v>
      </c>
      <c r="V83">
        <f>+U83*0.8</f>
        <v>7782511.0149437478</v>
      </c>
      <c r="W83">
        <f>+(V83/42)/D83</f>
        <v>0.56150873123692269</v>
      </c>
      <c r="X83" s="25">
        <f>+U83-V83</f>
        <v>1945627.7537359362</v>
      </c>
      <c r="Y83">
        <f>+(X83/300)/C83</f>
        <v>0.10809043076310758</v>
      </c>
      <c r="Z83" s="25">
        <f t="shared" si="10"/>
        <v>9217800</v>
      </c>
      <c r="AA83">
        <f>+W83/H83</f>
        <v>0.20892412928213486</v>
      </c>
      <c r="AB83">
        <f>+Y83/G83</f>
        <v>3.4102521198422872E-2</v>
      </c>
      <c r="AC83" s="25">
        <f t="shared" si="6"/>
        <v>9332809.8424317762</v>
      </c>
      <c r="AD83" s="30">
        <f t="shared" si="11"/>
        <v>9464586.1511810794</v>
      </c>
      <c r="AE83" s="33"/>
    </row>
    <row r="84" spans="1:31" x14ac:dyDescent="0.2">
      <c r="A84">
        <v>1782</v>
      </c>
      <c r="B84">
        <v>11140.271676927856</v>
      </c>
      <c r="C84">
        <v>55828</v>
      </c>
      <c r="D84">
        <v>298959</v>
      </c>
      <c r="E84" t="s">
        <v>163</v>
      </c>
      <c r="F84" s="24">
        <v>2.0900000000000012</v>
      </c>
      <c r="G84" s="24">
        <f t="shared" si="12"/>
        <v>3.1695730099892554</v>
      </c>
      <c r="H84" s="24">
        <f t="shared" si="13"/>
        <v>2.6876203010455115</v>
      </c>
      <c r="I84" s="25">
        <f t="shared" si="7"/>
        <v>176950.92200168016</v>
      </c>
      <c r="J84" s="25">
        <f t="shared" si="8"/>
        <v>803488.27758026507</v>
      </c>
      <c r="R84" s="25">
        <f>300*(Population!AE85+Population!AG85)</f>
        <v>3035137.8033611611</v>
      </c>
      <c r="S84" s="25">
        <f>300*(Population!V85-Population!AE85)</f>
        <v>5482646.2866567001</v>
      </c>
      <c r="T84">
        <f>17000*'Agricultural production'!X85</f>
        <v>1819000</v>
      </c>
      <c r="U84" s="25">
        <f t="shared" si="9"/>
        <v>10336784.090017861</v>
      </c>
      <c r="Z84" s="25">
        <f t="shared" si="10"/>
        <v>8396660.9400000013</v>
      </c>
      <c r="AC84" s="25">
        <f t="shared" si="6"/>
        <v>8501115.659490861</v>
      </c>
      <c r="AD84" s="30">
        <f t="shared" si="11"/>
        <v>9113005.1363331955</v>
      </c>
      <c r="AE84" s="33"/>
    </row>
    <row r="85" spans="1:31" x14ac:dyDescent="0.2">
      <c r="A85">
        <v>1783</v>
      </c>
      <c r="B85">
        <v>11369.838249192428</v>
      </c>
      <c r="C85">
        <v>62762</v>
      </c>
      <c r="D85">
        <v>310904</v>
      </c>
      <c r="E85" t="s">
        <v>163</v>
      </c>
      <c r="F85" s="24">
        <v>2.0900000000000012</v>
      </c>
      <c r="G85" s="24">
        <f t="shared" si="12"/>
        <v>3.1695730099892554</v>
      </c>
      <c r="H85" s="24">
        <f t="shared" si="13"/>
        <v>2.6876203010455115</v>
      </c>
      <c r="I85" s="25">
        <f t="shared" si="7"/>
        <v>198928.74125294565</v>
      </c>
      <c r="J85" s="25">
        <f t="shared" si="8"/>
        <v>835591.90207625367</v>
      </c>
      <c r="R85" s="25">
        <f>300*(Population!AE86+Population!AG86)</f>
        <v>3433200.1301683737</v>
      </c>
      <c r="S85" s="25">
        <f>300*(Population!V86-Population!AE86)</f>
        <v>5714510.8392923158</v>
      </c>
      <c r="T85">
        <f>17000*'Agricultural production'!X86</f>
        <v>2907000</v>
      </c>
      <c r="U85" s="25">
        <f t="shared" si="9"/>
        <v>12054710.969460689</v>
      </c>
      <c r="Z85" s="25">
        <f t="shared" si="10"/>
        <v>8878897.4399999995</v>
      </c>
      <c r="AC85" s="25">
        <f t="shared" si="6"/>
        <v>8988366.5158446915</v>
      </c>
      <c r="AD85" s="30">
        <f t="shared" si="11"/>
        <v>10010481.333716691</v>
      </c>
      <c r="AE85" s="33"/>
    </row>
    <row r="86" spans="1:31" x14ac:dyDescent="0.2">
      <c r="A86">
        <v>1784</v>
      </c>
      <c r="B86">
        <v>11604.135479077355</v>
      </c>
      <c r="C86">
        <v>60243</v>
      </c>
      <c r="D86">
        <v>308429</v>
      </c>
      <c r="E86" t="s">
        <v>163</v>
      </c>
      <c r="F86" s="24">
        <v>2.0900000000000012</v>
      </c>
      <c r="G86" s="24">
        <f t="shared" si="12"/>
        <v>3.1695730099892554</v>
      </c>
      <c r="H86" s="24">
        <f t="shared" si="13"/>
        <v>2.6876203010455115</v>
      </c>
      <c r="I86" s="25">
        <f t="shared" si="7"/>
        <v>190944.58684078272</v>
      </c>
      <c r="J86" s="25">
        <f t="shared" si="8"/>
        <v>828940.04183116602</v>
      </c>
      <c r="R86" s="25">
        <f>300*(Population!AE87+Population!AG87)</f>
        <v>3416827.9064530376</v>
      </c>
      <c r="S86" s="25">
        <f>300*(Population!V87-Population!AE87)</f>
        <v>5803708.5196017176</v>
      </c>
      <c r="T86">
        <f>17000*'Agricultural production'!X87</f>
        <v>2907000</v>
      </c>
      <c r="U86" s="25">
        <f t="shared" si="9"/>
        <v>12127536.426054755</v>
      </c>
      <c r="Z86" s="25">
        <f t="shared" si="10"/>
        <v>8745211.1400000006</v>
      </c>
      <c r="AC86" s="25">
        <f t="shared" si="6"/>
        <v>8853447.7611055449</v>
      </c>
      <c r="AD86" s="30">
        <f t="shared" si="11"/>
        <v>9944810.6494219471</v>
      </c>
      <c r="AE86" s="33"/>
    </row>
    <row r="87" spans="1:31" x14ac:dyDescent="0.2">
      <c r="A87">
        <v>1785</v>
      </c>
      <c r="B87">
        <v>11843.260850816952</v>
      </c>
      <c r="C87">
        <v>64776</v>
      </c>
      <c r="D87">
        <v>315946</v>
      </c>
      <c r="E87" t="s">
        <v>163</v>
      </c>
      <c r="F87" s="24">
        <v>2.0900000000000012</v>
      </c>
      <c r="G87" s="24">
        <f t="shared" si="12"/>
        <v>3.1695730099892554</v>
      </c>
      <c r="H87" s="24">
        <f t="shared" si="13"/>
        <v>2.6876203010455115</v>
      </c>
      <c r="I87" s="25">
        <f t="shared" si="7"/>
        <v>205312.261295064</v>
      </c>
      <c r="J87" s="25">
        <f t="shared" si="8"/>
        <v>849142.88363412523</v>
      </c>
      <c r="R87" s="25">
        <f>300*(Population!AE88+Population!AG88)</f>
        <v>3532795.3800737867</v>
      </c>
      <c r="S87" s="25">
        <f>300*(Population!V88-Population!AE88)</f>
        <v>5820947.0001191301</v>
      </c>
      <c r="T87">
        <f>17000*'Agricultural production'!X88</f>
        <v>2890000</v>
      </c>
      <c r="U87" s="25">
        <f t="shared" si="9"/>
        <v>12243742.380192917</v>
      </c>
      <c r="Z87" s="25">
        <f t="shared" si="10"/>
        <v>9053969.1600000001</v>
      </c>
      <c r="AC87" s="25">
        <f t="shared" si="6"/>
        <v>9165391.6093477849</v>
      </c>
      <c r="AD87" s="30">
        <f t="shared" si="11"/>
        <v>10191508.532962829</v>
      </c>
      <c r="AE87" s="33"/>
    </row>
    <row r="88" spans="1:31" x14ac:dyDescent="0.2">
      <c r="A88">
        <v>1786</v>
      </c>
      <c r="B88">
        <v>12087.313857494344</v>
      </c>
      <c r="C88">
        <v>64015</v>
      </c>
      <c r="D88">
        <v>335023</v>
      </c>
      <c r="E88" t="s">
        <v>163</v>
      </c>
      <c r="F88" s="24">
        <v>2.0900000000000012</v>
      </c>
      <c r="G88" s="24">
        <f t="shared" si="12"/>
        <v>3.1695730099892554</v>
      </c>
      <c r="H88" s="24">
        <f t="shared" si="13"/>
        <v>2.6876203010455115</v>
      </c>
      <c r="I88" s="25">
        <f t="shared" si="7"/>
        <v>202900.21623446219</v>
      </c>
      <c r="J88" s="25">
        <f t="shared" si="8"/>
        <v>900414.61611717043</v>
      </c>
      <c r="R88" s="25">
        <f>300*(Population!AE89+Population!AG89)</f>
        <v>3515067.1669250499</v>
      </c>
      <c r="S88" s="25">
        <f>300*(Population!V89-Population!AE89)</f>
        <v>6392111.6912566656</v>
      </c>
      <c r="T88">
        <f>17000*'Agricultural production'!X89</f>
        <v>2482000</v>
      </c>
      <c r="U88" s="25">
        <f t="shared" si="9"/>
        <v>12389178.858181715</v>
      </c>
      <c r="Z88" s="25">
        <f t="shared" si="10"/>
        <v>9454879.9800000004</v>
      </c>
      <c r="AC88" s="25">
        <f t="shared" si="6"/>
        <v>9572194.9161054082</v>
      </c>
      <c r="AD88" s="30">
        <f t="shared" si="11"/>
        <v>10511189.563464178</v>
      </c>
      <c r="AE88" s="33"/>
    </row>
    <row r="89" spans="1:31" x14ac:dyDescent="0.2">
      <c r="A89">
        <v>1787</v>
      </c>
      <c r="B89">
        <v>12336.396042437633</v>
      </c>
      <c r="C89">
        <v>83096</v>
      </c>
      <c r="D89">
        <v>433972</v>
      </c>
      <c r="E89" t="s">
        <v>163</v>
      </c>
      <c r="F89" s="24">
        <v>2.0900000000000012</v>
      </c>
      <c r="G89" s="24">
        <f t="shared" si="12"/>
        <v>3.1695730099892554</v>
      </c>
      <c r="H89" s="24">
        <f t="shared" si="13"/>
        <v>2.6876203010455115</v>
      </c>
      <c r="I89" s="25">
        <f t="shared" si="7"/>
        <v>263378.83883806714</v>
      </c>
      <c r="J89" s="25">
        <f t="shared" si="8"/>
        <v>1166351.9572853227</v>
      </c>
      <c r="R89" s="25">
        <f>300*(Population!AE90+Population!AG90)</f>
        <v>3831612.7894125916</v>
      </c>
      <c r="S89" s="25">
        <f>300*(Population!V90-Population!AE90)</f>
        <v>6801701.5801094975</v>
      </c>
      <c r="T89">
        <f>17000*'Agricultural production'!X90</f>
        <v>2720000</v>
      </c>
      <c r="U89" s="25">
        <f t="shared" si="9"/>
        <v>13353314.369522089</v>
      </c>
      <c r="Z89" s="25">
        <f t="shared" si="10"/>
        <v>12252811.920000002</v>
      </c>
      <c r="AC89" s="25">
        <f t="shared" si="6"/>
        <v>12404806.945693577</v>
      </c>
      <c r="AD89" s="30">
        <f t="shared" si="11"/>
        <v>12720976.086969748</v>
      </c>
      <c r="AE89" s="33"/>
    </row>
    <row r="90" spans="1:31" x14ac:dyDescent="0.2">
      <c r="A90">
        <v>1788</v>
      </c>
      <c r="B90">
        <v>12590.611041469114</v>
      </c>
      <c r="C90">
        <v>80921</v>
      </c>
      <c r="D90">
        <v>445557</v>
      </c>
      <c r="E90" t="s">
        <v>163</v>
      </c>
      <c r="F90" s="24">
        <v>2.0900000000000012</v>
      </c>
      <c r="G90" s="24">
        <f t="shared" si="12"/>
        <v>3.1695730099892554</v>
      </c>
      <c r="H90" s="24">
        <f t="shared" si="13"/>
        <v>2.6876203010455115</v>
      </c>
      <c r="I90" s="25">
        <f t="shared" si="7"/>
        <v>256485.01754134052</v>
      </c>
      <c r="J90" s="25">
        <f t="shared" si="8"/>
        <v>1197488.0384729351</v>
      </c>
      <c r="R90" s="25">
        <f>300*(Population!AE91+Population!AG91)</f>
        <v>3776430.4678557711</v>
      </c>
      <c r="S90" s="25">
        <f>300*(Population!V91-Population!AE91)</f>
        <v>6702662.9695884017</v>
      </c>
      <c r="T90">
        <f>17000*'Agricultural production'!X91</f>
        <v>2958000</v>
      </c>
      <c r="U90" s="25">
        <f t="shared" si="9"/>
        <v>13437093.437444173</v>
      </c>
      <c r="Z90" s="25">
        <f t="shared" si="10"/>
        <v>12442834.02</v>
      </c>
      <c r="AC90" s="25">
        <f t="shared" si="6"/>
        <v>12598101.196831927</v>
      </c>
      <c r="AD90" s="30">
        <f t="shared" si="11"/>
        <v>12877765.277036009</v>
      </c>
      <c r="AE90" s="33"/>
    </row>
    <row r="91" spans="1:31" x14ac:dyDescent="0.2">
      <c r="A91">
        <v>1789</v>
      </c>
      <c r="B91">
        <v>12850.064626025105</v>
      </c>
      <c r="C91">
        <v>77857</v>
      </c>
      <c r="D91">
        <v>431555</v>
      </c>
      <c r="E91" t="s">
        <v>163</v>
      </c>
      <c r="F91" s="24">
        <v>2.0900000000000012</v>
      </c>
      <c r="G91" s="24">
        <f t="shared" si="12"/>
        <v>3.1695730099892554</v>
      </c>
      <c r="H91" s="24">
        <f t="shared" si="13"/>
        <v>2.6876203010455115</v>
      </c>
      <c r="I91" s="25">
        <f t="shared" si="7"/>
        <v>246773.44583873346</v>
      </c>
      <c r="J91" s="25">
        <f t="shared" si="8"/>
        <v>1159855.9790176956</v>
      </c>
      <c r="R91" s="25">
        <f>300*(Population!AE92+Population!AG92)</f>
        <v>3873127.1142845675</v>
      </c>
      <c r="S91" s="25">
        <f>300*(Population!V92-Population!AE92)</f>
        <v>6909533.5831172317</v>
      </c>
      <c r="T91">
        <f>17000*'Agricultural production'!X92</f>
        <v>3213000</v>
      </c>
      <c r="U91" s="25">
        <f t="shared" si="9"/>
        <v>13995660.697401799</v>
      </c>
      <c r="Z91" s="25">
        <f t="shared" si="10"/>
        <v>12035552.700000001</v>
      </c>
      <c r="AC91" s="25">
        <f t="shared" si="6"/>
        <v>12185847.337552106</v>
      </c>
      <c r="AD91" s="30">
        <f t="shared" si="11"/>
        <v>12789118.457502002</v>
      </c>
      <c r="AE91" s="33"/>
    </row>
    <row r="92" spans="1:31" x14ac:dyDescent="0.2">
      <c r="A92">
        <v>1790</v>
      </c>
      <c r="B92">
        <v>13114.864747164369</v>
      </c>
      <c r="C92">
        <v>83467</v>
      </c>
      <c r="D92">
        <v>467321</v>
      </c>
      <c r="E92" t="s">
        <v>163</v>
      </c>
      <c r="F92" s="24">
        <v>2.0900000000000012</v>
      </c>
      <c r="G92" s="24">
        <f t="shared" si="12"/>
        <v>3.1695730099892554</v>
      </c>
      <c r="H92" s="24">
        <f t="shared" si="13"/>
        <v>2.6876203010455115</v>
      </c>
      <c r="I92" s="25">
        <f t="shared" si="7"/>
        <v>264554.7504247732</v>
      </c>
      <c r="J92" s="25">
        <f t="shared" si="8"/>
        <v>1255981.4067048894</v>
      </c>
      <c r="K92">
        <f>+C92*0.05</f>
        <v>4173.3500000000004</v>
      </c>
      <c r="L92">
        <f>+D92*0.25</f>
        <v>116830.25</v>
      </c>
      <c r="M92">
        <f>+K92*300</f>
        <v>1252005</v>
      </c>
      <c r="N92">
        <f>+L92*42</f>
        <v>4906870.5</v>
      </c>
      <c r="O92">
        <f>+N92+M92</f>
        <v>6158875.5</v>
      </c>
      <c r="P92">
        <f>+N92/O92</f>
        <v>0.79671532571164982</v>
      </c>
      <c r="Q92">
        <v>4700000</v>
      </c>
      <c r="R92" s="25">
        <f>300*(Population!AE93+Population!AG93)</f>
        <v>3768772.2640114157</v>
      </c>
      <c r="S92" s="25">
        <f>300*(Population!V93-Population!AE93)</f>
        <v>7025074.1623895625</v>
      </c>
      <c r="T92">
        <f>17000*'Agricultural production'!X93</f>
        <v>2669000</v>
      </c>
      <c r="U92" s="25">
        <f t="shared" si="9"/>
        <v>13462846.426400978</v>
      </c>
      <c r="V92">
        <f>+U92*0.8</f>
        <v>10770277.141120784</v>
      </c>
      <c r="W92">
        <f>+(V92/42)/D92</f>
        <v>0.54873453156756347</v>
      </c>
      <c r="X92" s="25">
        <f>+U92-V92</f>
        <v>2692569.2852801941</v>
      </c>
      <c r="Y92">
        <f>+(X92/300)/C92</f>
        <v>0.10753029282152206</v>
      </c>
      <c r="Z92" s="25">
        <f t="shared" si="10"/>
        <v>13006735.860000001</v>
      </c>
      <c r="AA92">
        <f>+W92/H92</f>
        <v>0.20417115146588979</v>
      </c>
      <c r="AB92">
        <f>+Y92/G92</f>
        <v>3.3925797728157264E-2</v>
      </c>
      <c r="AC92" s="25">
        <f>+I92*300*0.033+J92*42*0.2</f>
        <v>13169335.845526326</v>
      </c>
      <c r="AD92" s="30">
        <f t="shared" si="11"/>
        <v>13267172.705817878</v>
      </c>
      <c r="AE92" s="33"/>
    </row>
    <row r="93" spans="1:31" x14ac:dyDescent="0.2">
      <c r="A93">
        <v>1791</v>
      </c>
      <c r="B93">
        <v>13385.121580483377</v>
      </c>
      <c r="C93">
        <v>83543</v>
      </c>
      <c r="D93">
        <v>467669</v>
      </c>
      <c r="E93" t="s">
        <v>163</v>
      </c>
      <c r="F93" s="24">
        <v>2.0900000000000012</v>
      </c>
      <c r="G93" s="24">
        <f t="shared" si="12"/>
        <v>3.1695730099892554</v>
      </c>
      <c r="H93" s="24">
        <f t="shared" si="13"/>
        <v>2.6876203010455115</v>
      </c>
      <c r="I93" s="25">
        <f t="shared" si="7"/>
        <v>264795.63797353237</v>
      </c>
      <c r="J93" s="25">
        <f t="shared" si="8"/>
        <v>1256916.6985696533</v>
      </c>
      <c r="R93" s="25">
        <f>300*(Population!AE94+Population!AG94)</f>
        <v>3818832.1847681985</v>
      </c>
      <c r="S93" s="25">
        <f>300*(Population!V94-Population!AE94)</f>
        <v>6743603.2587033967</v>
      </c>
      <c r="T93">
        <f>17000*'Agricultural production'!X94</f>
        <v>3111000</v>
      </c>
      <c r="U93" s="25">
        <f t="shared" si="9"/>
        <v>13673435.443471594</v>
      </c>
      <c r="Z93" s="25">
        <f t="shared" si="10"/>
        <v>13016853.539999999</v>
      </c>
      <c r="AC93" s="25">
        <f t="shared" ref="AC93:AC97" si="14">+I93*300*0.033+J93*42*0.2</f>
        <v>13179577.08392306</v>
      </c>
      <c r="AD93" s="30">
        <f t="shared" si="11"/>
        <v>13344196.537105905</v>
      </c>
      <c r="AE93" s="33"/>
    </row>
    <row r="94" spans="1:31" x14ac:dyDescent="0.2">
      <c r="A94">
        <v>1792</v>
      </c>
      <c r="B94">
        <v>13660.947571957175</v>
      </c>
      <c r="C94">
        <v>83246</v>
      </c>
      <c r="D94">
        <v>487481</v>
      </c>
      <c r="E94" t="s">
        <v>163</v>
      </c>
      <c r="F94" s="24">
        <v>2.0900000000000012</v>
      </c>
      <c r="G94" s="24">
        <f t="shared" si="12"/>
        <v>3.1695730099892554</v>
      </c>
      <c r="H94" s="24">
        <f t="shared" si="13"/>
        <v>2.6876203010455115</v>
      </c>
      <c r="I94" s="25">
        <f t="shared" si="7"/>
        <v>263854.27478956553</v>
      </c>
      <c r="J94" s="25">
        <f t="shared" si="8"/>
        <v>1310163.8319739669</v>
      </c>
      <c r="R94" s="25">
        <f>300*(Population!AE95+Population!AG95)</f>
        <v>3785386.8600532399</v>
      </c>
      <c r="S94" s="25">
        <f>300*(Population!V95-Population!AE95)</f>
        <v>6827497.6255728025</v>
      </c>
      <c r="T94">
        <f>17000*'Agricultural production'!X95</f>
        <v>2618000</v>
      </c>
      <c r="U94" s="25">
        <f t="shared" si="9"/>
        <v>13230884.485626042</v>
      </c>
      <c r="Z94" s="25">
        <f t="shared" si="10"/>
        <v>13448602.26</v>
      </c>
      <c r="AC94" s="25">
        <f t="shared" si="14"/>
        <v>13617533.508998021</v>
      </c>
      <c r="AD94" s="30">
        <f t="shared" si="11"/>
        <v>13488650.501207361</v>
      </c>
      <c r="AE94" s="33"/>
    </row>
    <row r="95" spans="1:31" x14ac:dyDescent="0.2">
      <c r="A95">
        <v>1793</v>
      </c>
      <c r="B95">
        <v>13942.457484724857</v>
      </c>
      <c r="C95">
        <v>82110</v>
      </c>
      <c r="D95">
        <v>475205</v>
      </c>
      <c r="E95" t="s">
        <v>163</v>
      </c>
      <c r="F95" s="24">
        <v>2.0900000000000012</v>
      </c>
      <c r="G95" s="24">
        <f t="shared" si="12"/>
        <v>3.1695730099892554</v>
      </c>
      <c r="H95" s="24">
        <f t="shared" si="13"/>
        <v>2.6876203010455115</v>
      </c>
      <c r="I95" s="25">
        <f t="shared" si="7"/>
        <v>260253.63985021776</v>
      </c>
      <c r="J95" s="25">
        <f t="shared" si="8"/>
        <v>1277170.6051583323</v>
      </c>
      <c r="R95" s="25">
        <f>300*(Population!AE96+Population!AG96)</f>
        <v>3869228.9953870135</v>
      </c>
      <c r="S95" s="25">
        <f>300*(Population!V96-Population!AE96)</f>
        <v>7294239.1465079328</v>
      </c>
      <c r="T95">
        <f>17000*'Agricultural production'!X96</f>
        <v>2176000</v>
      </c>
      <c r="U95" s="25">
        <f t="shared" si="9"/>
        <v>13339468.141894948</v>
      </c>
      <c r="Z95" s="25">
        <f t="shared" si="10"/>
        <v>13139895.300000001</v>
      </c>
      <c r="AC95" s="25">
        <f t="shared" si="14"/>
        <v>13304744.117847146</v>
      </c>
      <c r="AD95" s="30">
        <f t="shared" si="11"/>
        <v>13316318.792529747</v>
      </c>
      <c r="AE95" s="33"/>
    </row>
    <row r="96" spans="1:31" x14ac:dyDescent="0.2">
      <c r="A96">
        <v>1794</v>
      </c>
      <c r="B96">
        <v>14229.768446839154</v>
      </c>
      <c r="C96" s="30">
        <f>+(C95+C97)/2</f>
        <v>76887</v>
      </c>
      <c r="D96" s="30">
        <f t="shared" ref="D96" si="15">+(D95+D97)/2</f>
        <v>447011</v>
      </c>
      <c r="F96" s="24">
        <v>2.0900000000000012</v>
      </c>
      <c r="G96" s="24">
        <f t="shared" si="12"/>
        <v>3.1695730099892554</v>
      </c>
      <c r="H96" s="24">
        <f t="shared" si="13"/>
        <v>2.6876203010455115</v>
      </c>
      <c r="I96" s="30">
        <f t="shared" ref="I96" si="16">+(I95+I97)/2</f>
        <v>243698.96001904388</v>
      </c>
      <c r="J96" s="30">
        <f t="shared" ref="J96" si="17">+(J95+J97)/2</f>
        <v>1201395.8383906551</v>
      </c>
      <c r="R96" s="25">
        <f>300*(Population!AE97+Population!AG97)</f>
        <v>3882446.0422190106</v>
      </c>
      <c r="S96" s="25">
        <f>300*(Population!V97-Population!AE97)</f>
        <v>7743590.3031862332</v>
      </c>
      <c r="T96">
        <f>17000*'Agricultural production'!X97</f>
        <v>1462000</v>
      </c>
      <c r="U96" s="25">
        <f t="shared" si="9"/>
        <v>13088036.345405245</v>
      </c>
      <c r="Z96" s="25">
        <f t="shared" si="10"/>
        <v>12349339.260000002</v>
      </c>
      <c r="AC96" s="25">
        <f t="shared" si="14"/>
        <v>12504344.746670039</v>
      </c>
      <c r="AD96" s="30">
        <f t="shared" si="11"/>
        <v>12698908.612915108</v>
      </c>
      <c r="AE96" s="33"/>
    </row>
    <row r="97" spans="1:31" x14ac:dyDescent="0.2">
      <c r="A97">
        <v>1795</v>
      </c>
      <c r="B97">
        <v>14523.000000000007</v>
      </c>
      <c r="C97">
        <v>71664</v>
      </c>
      <c r="D97">
        <v>418817</v>
      </c>
      <c r="E97">
        <v>125</v>
      </c>
      <c r="F97" s="24">
        <v>2.0900000000000012</v>
      </c>
      <c r="G97" s="24">
        <f t="shared" si="12"/>
        <v>3.1695730099892554</v>
      </c>
      <c r="H97" s="24">
        <f t="shared" si="13"/>
        <v>2.6876203010455115</v>
      </c>
      <c r="I97" s="25">
        <f t="shared" si="7"/>
        <v>227144.28018787</v>
      </c>
      <c r="J97" s="25">
        <f t="shared" si="8"/>
        <v>1125621.071622978</v>
      </c>
      <c r="R97" s="25">
        <f>300*(Population!AE98+Population!AG98)</f>
        <v>3878979.89393199</v>
      </c>
      <c r="S97" s="25">
        <f>300*(Population!V98-Population!AE98)</f>
        <v>7775173.5307255434</v>
      </c>
      <c r="T97">
        <f>17000*'Agricultural production'!X98</f>
        <v>2329000</v>
      </c>
      <c r="U97" s="25">
        <f t="shared" si="9"/>
        <v>13983153.424657533</v>
      </c>
      <c r="Z97" s="25">
        <f>0.53*D97*42+0.104*C97*300</f>
        <v>11558783.219999999</v>
      </c>
      <c r="AC97" s="25">
        <f t="shared" si="14"/>
        <v>11703945.37549293</v>
      </c>
      <c r="AD97" s="30">
        <f t="shared" si="11"/>
        <v>12463681.391881131</v>
      </c>
      <c r="AE97" s="33"/>
    </row>
    <row r="98" spans="1:31" x14ac:dyDescent="0.2">
      <c r="AE98" s="33"/>
    </row>
    <row r="99" spans="1:31" x14ac:dyDescent="0.2">
      <c r="B99" s="23" t="s">
        <v>164</v>
      </c>
      <c r="C99" s="23"/>
      <c r="D99" s="23"/>
      <c r="E99" s="23"/>
      <c r="F99" s="23"/>
      <c r="G99" s="23"/>
      <c r="AE99" s="33"/>
    </row>
    <row r="100" spans="1:31" x14ac:dyDescent="0.2">
      <c r="B100" s="8" t="s">
        <v>165</v>
      </c>
      <c r="C100" s="8"/>
      <c r="D100" s="8"/>
      <c r="E100" s="8"/>
      <c r="F100" s="8"/>
      <c r="G100" s="8"/>
      <c r="K100" s="8"/>
      <c r="AE100" s="33"/>
    </row>
    <row r="101" spans="1:31" x14ac:dyDescent="0.2">
      <c r="B101" s="9" t="s">
        <v>166</v>
      </c>
      <c r="C101" s="9"/>
      <c r="D101" s="9"/>
      <c r="E101" s="9"/>
      <c r="F101" s="9"/>
      <c r="G101" s="9"/>
      <c r="H101" s="24"/>
      <c r="I101" s="24"/>
      <c r="J101" s="24"/>
      <c r="AE101" s="33"/>
    </row>
    <row r="102" spans="1:31" x14ac:dyDescent="0.2">
      <c r="AE102" s="33"/>
    </row>
    <row r="103" spans="1:31" x14ac:dyDescent="0.2">
      <c r="AE103" s="33"/>
    </row>
    <row r="104" spans="1:31" x14ac:dyDescent="0.2">
      <c r="H104" s="24"/>
      <c r="I104" s="24"/>
      <c r="J104" s="24"/>
      <c r="AE104" s="33"/>
    </row>
    <row r="105" spans="1:31" x14ac:dyDescent="0.2">
      <c r="AE105" s="33"/>
    </row>
    <row r="106" spans="1:31" x14ac:dyDescent="0.2">
      <c r="AE106" s="33"/>
    </row>
    <row r="107" spans="1:31" x14ac:dyDescent="0.2">
      <c r="AE107" s="33"/>
    </row>
    <row r="108" spans="1:31" x14ac:dyDescent="0.2">
      <c r="AE108" s="33"/>
    </row>
    <row r="109" spans="1:31" x14ac:dyDescent="0.2">
      <c r="AE109" s="33"/>
    </row>
    <row r="110" spans="1:31" x14ac:dyDescent="0.2">
      <c r="AE110" s="33"/>
    </row>
    <row r="111" spans="1:31" x14ac:dyDescent="0.2">
      <c r="AE111" s="33"/>
    </row>
    <row r="112" spans="1:31" x14ac:dyDescent="0.2">
      <c r="AE112" s="33"/>
    </row>
    <row r="113" spans="8:31" x14ac:dyDescent="0.2">
      <c r="AE113" s="33"/>
    </row>
    <row r="114" spans="8:31" x14ac:dyDescent="0.2">
      <c r="AE114" s="33"/>
    </row>
    <row r="115" spans="8:31" x14ac:dyDescent="0.2">
      <c r="H115" s="24"/>
      <c r="I115" s="24"/>
      <c r="J115" s="24"/>
      <c r="AE115" s="33"/>
    </row>
    <row r="116" spans="8:31" x14ac:dyDescent="0.2">
      <c r="AE116" s="33"/>
    </row>
    <row r="117" spans="8:31" x14ac:dyDescent="0.2">
      <c r="AE117" s="33"/>
    </row>
    <row r="118" spans="8:31" x14ac:dyDescent="0.2">
      <c r="AE118" s="33"/>
    </row>
    <row r="119" spans="8:31" x14ac:dyDescent="0.2">
      <c r="AE119" s="33"/>
    </row>
    <row r="120" spans="8:31" x14ac:dyDescent="0.2">
      <c r="H120" s="24">
        <f>+AG74</f>
        <v>0</v>
      </c>
      <c r="I120" s="24"/>
      <c r="J120" s="24"/>
      <c r="AE120" s="33"/>
    </row>
    <row r="121" spans="8:31" x14ac:dyDescent="0.2">
      <c r="AE121" s="33"/>
    </row>
    <row r="122" spans="8:31" x14ac:dyDescent="0.2">
      <c r="AE122" s="33"/>
    </row>
    <row r="123" spans="8:31" x14ac:dyDescent="0.2">
      <c r="AE123" s="33"/>
    </row>
    <row r="125" spans="8:31" x14ac:dyDescent="0.2">
      <c r="H125" s="24">
        <f>+AG75</f>
        <v>0</v>
      </c>
      <c r="I125" s="24"/>
      <c r="J125" s="24"/>
    </row>
    <row r="136" spans="8:10" x14ac:dyDescent="0.2">
      <c r="H136" s="24">
        <f>+AG76</f>
        <v>0</v>
      </c>
      <c r="I136" s="24"/>
      <c r="J136" s="24"/>
    </row>
  </sheetData>
  <phoneticPr fontId="0" type="noConversion"/>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90"/>
  <sheetViews>
    <sheetView zoomScaleNormal="100" workbookViewId="0">
      <selection activeCell="H3" sqref="H3"/>
    </sheetView>
  </sheetViews>
  <sheetFormatPr defaultRowHeight="12.75" x14ac:dyDescent="0.2"/>
  <sheetData>
    <row r="2" spans="1:10" s="5" customFormat="1" x14ac:dyDescent="0.2">
      <c r="A2" s="5" t="s">
        <v>0</v>
      </c>
      <c r="B2" t="s">
        <v>170</v>
      </c>
      <c r="C2" t="s">
        <v>49</v>
      </c>
      <c r="G2" s="75"/>
    </row>
    <row r="3" spans="1:10" x14ac:dyDescent="0.2">
      <c r="A3">
        <v>1706</v>
      </c>
      <c r="B3">
        <v>1400</v>
      </c>
      <c r="G3" s="5"/>
      <c r="J3" s="27"/>
    </row>
    <row r="4" spans="1:10" x14ac:dyDescent="0.2">
      <c r="A4">
        <v>1707</v>
      </c>
      <c r="B4">
        <v>4005</v>
      </c>
    </row>
    <row r="5" spans="1:10" x14ac:dyDescent="0.2">
      <c r="A5">
        <v>1708</v>
      </c>
      <c r="B5">
        <v>5310</v>
      </c>
      <c r="I5" s="26"/>
    </row>
    <row r="6" spans="1:10" x14ac:dyDescent="0.2">
      <c r="A6">
        <v>1709</v>
      </c>
      <c r="B6">
        <v>3839</v>
      </c>
      <c r="I6" s="26"/>
    </row>
    <row r="7" spans="1:10" x14ac:dyDescent="0.2">
      <c r="A7">
        <v>1710</v>
      </c>
      <c r="B7">
        <v>3446</v>
      </c>
      <c r="I7" s="26"/>
    </row>
    <row r="8" spans="1:10" x14ac:dyDescent="0.2">
      <c r="A8">
        <v>1711</v>
      </c>
      <c r="B8">
        <v>0</v>
      </c>
      <c r="I8" s="26"/>
    </row>
    <row r="9" spans="1:10" x14ac:dyDescent="0.2">
      <c r="A9">
        <v>1712</v>
      </c>
      <c r="B9">
        <v>0</v>
      </c>
      <c r="I9" s="26"/>
    </row>
    <row r="10" spans="1:10" x14ac:dyDescent="0.2">
      <c r="A10">
        <v>1713</v>
      </c>
      <c r="B10">
        <v>2769</v>
      </c>
      <c r="I10" s="26"/>
    </row>
    <row r="11" spans="1:10" x14ac:dyDescent="0.2">
      <c r="A11">
        <v>1714</v>
      </c>
      <c r="B11">
        <v>4375</v>
      </c>
      <c r="I11" s="26"/>
    </row>
    <row r="12" spans="1:10" x14ac:dyDescent="0.2">
      <c r="A12">
        <v>1715</v>
      </c>
      <c r="B12">
        <v>6300</v>
      </c>
      <c r="I12" s="26"/>
    </row>
    <row r="13" spans="1:10" x14ac:dyDescent="0.2">
      <c r="A13">
        <v>1716</v>
      </c>
      <c r="B13">
        <v>5548</v>
      </c>
      <c r="I13" s="26"/>
    </row>
    <row r="14" spans="1:10" x14ac:dyDescent="0.2">
      <c r="A14">
        <v>1717</v>
      </c>
      <c r="B14">
        <v>6563</v>
      </c>
      <c r="I14" s="26"/>
    </row>
    <row r="15" spans="1:10" x14ac:dyDescent="0.2">
      <c r="A15">
        <v>1718</v>
      </c>
      <c r="B15">
        <v>6563</v>
      </c>
      <c r="I15" s="26"/>
    </row>
    <row r="16" spans="1:10" x14ac:dyDescent="0.2">
      <c r="A16">
        <v>1719</v>
      </c>
      <c r="B16">
        <v>1750</v>
      </c>
      <c r="I16" s="26"/>
    </row>
    <row r="17" spans="1:9" x14ac:dyDescent="0.2">
      <c r="A17">
        <v>1720</v>
      </c>
      <c r="B17">
        <v>55</v>
      </c>
      <c r="I17" s="26"/>
    </row>
    <row r="18" spans="1:9" x14ac:dyDescent="0.2">
      <c r="A18">
        <v>1721</v>
      </c>
      <c r="B18">
        <v>35</v>
      </c>
      <c r="I18" s="26"/>
    </row>
    <row r="19" spans="1:9" x14ac:dyDescent="0.2">
      <c r="A19">
        <v>1722</v>
      </c>
      <c r="B19">
        <v>3500</v>
      </c>
      <c r="I19" s="26"/>
    </row>
    <row r="20" spans="1:9" x14ac:dyDescent="0.2">
      <c r="A20">
        <v>1723</v>
      </c>
      <c r="B20">
        <v>4375</v>
      </c>
      <c r="I20" s="26"/>
    </row>
    <row r="21" spans="1:9" x14ac:dyDescent="0.2">
      <c r="A21">
        <v>1724</v>
      </c>
      <c r="B21">
        <v>3500</v>
      </c>
      <c r="I21" s="26"/>
    </row>
    <row r="22" spans="1:9" x14ac:dyDescent="0.2">
      <c r="A22">
        <v>1725</v>
      </c>
      <c r="B22">
        <v>7000</v>
      </c>
    </row>
    <row r="23" spans="1:9" x14ac:dyDescent="0.2">
      <c r="A23">
        <v>1726</v>
      </c>
      <c r="B23">
        <v>0</v>
      </c>
    </row>
    <row r="24" spans="1:9" x14ac:dyDescent="0.2">
      <c r="A24">
        <v>1727</v>
      </c>
      <c r="B24">
        <v>0</v>
      </c>
    </row>
    <row r="25" spans="1:9" x14ac:dyDescent="0.2">
      <c r="A25">
        <v>1728</v>
      </c>
      <c r="B25">
        <v>3675</v>
      </c>
    </row>
    <row r="26" spans="1:9" x14ac:dyDescent="0.2">
      <c r="A26">
        <v>1729</v>
      </c>
      <c r="B26">
        <v>5550</v>
      </c>
    </row>
    <row r="27" spans="1:9" x14ac:dyDescent="0.2">
      <c r="A27">
        <v>1730</v>
      </c>
      <c r="B27">
        <v>2775</v>
      </c>
    </row>
    <row r="28" spans="1:9" x14ac:dyDescent="0.2">
      <c r="A28">
        <v>1731</v>
      </c>
      <c r="B28">
        <v>6660</v>
      </c>
    </row>
    <row r="29" spans="1:9" x14ac:dyDescent="0.2">
      <c r="A29">
        <v>1732</v>
      </c>
      <c r="B29">
        <v>6475</v>
      </c>
    </row>
    <row r="30" spans="1:9" x14ac:dyDescent="0.2">
      <c r="A30">
        <v>1733</v>
      </c>
      <c r="B30">
        <v>10175</v>
      </c>
    </row>
    <row r="31" spans="1:9" x14ac:dyDescent="0.2">
      <c r="A31">
        <v>1734</v>
      </c>
      <c r="B31">
        <v>8000</v>
      </c>
    </row>
    <row r="32" spans="1:9" x14ac:dyDescent="0.2">
      <c r="A32">
        <v>1735</v>
      </c>
      <c r="B32">
        <v>0</v>
      </c>
    </row>
    <row r="33" spans="1:3" x14ac:dyDescent="0.2">
      <c r="A33">
        <v>1736</v>
      </c>
      <c r="B33">
        <v>0</v>
      </c>
    </row>
    <row r="34" spans="1:3" x14ac:dyDescent="0.2">
      <c r="A34">
        <v>1737</v>
      </c>
      <c r="B34">
        <v>5550</v>
      </c>
    </row>
    <row r="35" spans="1:3" x14ac:dyDescent="0.2">
      <c r="A35">
        <v>1738</v>
      </c>
      <c r="B35">
        <v>0</v>
      </c>
    </row>
    <row r="36" spans="1:3" x14ac:dyDescent="0.2">
      <c r="A36">
        <v>1739</v>
      </c>
      <c r="B36">
        <v>0</v>
      </c>
    </row>
    <row r="37" spans="1:3" x14ac:dyDescent="0.2">
      <c r="A37">
        <v>1740</v>
      </c>
      <c r="B37">
        <v>0</v>
      </c>
    </row>
    <row r="38" spans="1:3" x14ac:dyDescent="0.2">
      <c r="A38">
        <v>1741</v>
      </c>
      <c r="B38">
        <v>18963</v>
      </c>
    </row>
    <row r="39" spans="1:3" x14ac:dyDescent="0.2">
      <c r="A39">
        <v>1742</v>
      </c>
      <c r="B39">
        <v>16743</v>
      </c>
    </row>
    <row r="40" spans="1:3" x14ac:dyDescent="0.2">
      <c r="A40">
        <v>1743</v>
      </c>
      <c r="B40">
        <v>10212</v>
      </c>
    </row>
    <row r="41" spans="1:3" x14ac:dyDescent="0.2">
      <c r="A41">
        <v>1744</v>
      </c>
      <c r="B41">
        <v>5828</v>
      </c>
    </row>
    <row r="42" spans="1:3" x14ac:dyDescent="0.2">
      <c r="A42">
        <v>1745</v>
      </c>
      <c r="B42">
        <v>10064</v>
      </c>
    </row>
    <row r="43" spans="1:3" x14ac:dyDescent="0.2">
      <c r="A43">
        <v>1746</v>
      </c>
      <c r="B43">
        <v>17483</v>
      </c>
    </row>
    <row r="44" spans="1:3" x14ac:dyDescent="0.2">
      <c r="A44">
        <v>1747</v>
      </c>
      <c r="B44">
        <v>10508</v>
      </c>
    </row>
    <row r="45" spans="1:3" x14ac:dyDescent="0.2">
      <c r="A45">
        <v>1748</v>
      </c>
      <c r="B45">
        <v>6438</v>
      </c>
      <c r="C45">
        <v>2000</v>
      </c>
    </row>
    <row r="46" spans="1:3" x14ac:dyDescent="0.2">
      <c r="A46">
        <v>1749</v>
      </c>
      <c r="B46">
        <v>2441</v>
      </c>
      <c r="C46">
        <v>1632</v>
      </c>
    </row>
    <row r="47" spans="1:3" x14ac:dyDescent="0.2">
      <c r="A47">
        <v>1750</v>
      </c>
      <c r="B47">
        <v>4732</v>
      </c>
      <c r="C47">
        <v>976</v>
      </c>
    </row>
    <row r="48" spans="1:3" x14ac:dyDescent="0.2">
      <c r="A48">
        <v>1751</v>
      </c>
      <c r="B48">
        <v>10035</v>
      </c>
      <c r="C48">
        <v>2608</v>
      </c>
    </row>
    <row r="49" spans="1:3" x14ac:dyDescent="0.2">
      <c r="A49">
        <v>1752</v>
      </c>
      <c r="B49">
        <v>15300</v>
      </c>
      <c r="C49">
        <v>2568</v>
      </c>
    </row>
    <row r="50" spans="1:3" x14ac:dyDescent="0.2">
      <c r="A50">
        <v>1753</v>
      </c>
      <c r="B50">
        <v>9361</v>
      </c>
      <c r="C50">
        <v>1016</v>
      </c>
    </row>
    <row r="51" spans="1:3" x14ac:dyDescent="0.2">
      <c r="A51">
        <v>1754</v>
      </c>
      <c r="B51">
        <v>18401</v>
      </c>
      <c r="C51">
        <v>1941</v>
      </c>
    </row>
    <row r="52" spans="1:3" x14ac:dyDescent="0.2">
      <c r="A52">
        <v>1755</v>
      </c>
      <c r="B52">
        <v>17663</v>
      </c>
      <c r="C52">
        <v>3121</v>
      </c>
    </row>
    <row r="53" spans="1:3" x14ac:dyDescent="0.2">
      <c r="A53">
        <v>1756</v>
      </c>
      <c r="B53">
        <v>14248</v>
      </c>
      <c r="C53">
        <v>2772</v>
      </c>
    </row>
    <row r="54" spans="1:3" x14ac:dyDescent="0.2">
      <c r="A54">
        <v>1757</v>
      </c>
      <c r="B54">
        <v>7813</v>
      </c>
      <c r="C54">
        <v>2065</v>
      </c>
    </row>
    <row r="55" spans="1:3" x14ac:dyDescent="0.2">
      <c r="A55">
        <v>1758</v>
      </c>
      <c r="B55">
        <v>12099</v>
      </c>
      <c r="C55">
        <v>1803</v>
      </c>
    </row>
    <row r="56" spans="1:3" x14ac:dyDescent="0.2">
      <c r="A56">
        <v>1759</v>
      </c>
      <c r="B56">
        <v>14740</v>
      </c>
      <c r="C56">
        <v>1307</v>
      </c>
    </row>
    <row r="57" spans="1:3" x14ac:dyDescent="0.2">
      <c r="A57">
        <v>1760</v>
      </c>
      <c r="B57">
        <v>13764</v>
      </c>
      <c r="C57">
        <v>1727</v>
      </c>
    </row>
    <row r="58" spans="1:3" x14ac:dyDescent="0.2">
      <c r="A58">
        <v>1761</v>
      </c>
      <c r="B58">
        <v>10114</v>
      </c>
      <c r="C58">
        <v>1361</v>
      </c>
    </row>
    <row r="59" spans="1:3" x14ac:dyDescent="0.2">
      <c r="A59">
        <v>1762</v>
      </c>
      <c r="B59">
        <v>12964</v>
      </c>
      <c r="C59">
        <v>2345</v>
      </c>
    </row>
    <row r="60" spans="1:3" x14ac:dyDescent="0.2">
      <c r="A60">
        <v>1763</v>
      </c>
      <c r="B60">
        <v>14470</v>
      </c>
      <c r="C60">
        <v>1765</v>
      </c>
    </row>
    <row r="61" spans="1:3" x14ac:dyDescent="0.2">
      <c r="A61">
        <v>1764</v>
      </c>
      <c r="B61">
        <v>6930</v>
      </c>
      <c r="C61">
        <v>1812</v>
      </c>
    </row>
    <row r="62" spans="1:3" x14ac:dyDescent="0.2">
      <c r="A62">
        <v>1765</v>
      </c>
      <c r="B62">
        <v>2905</v>
      </c>
      <c r="C62">
        <v>1894</v>
      </c>
    </row>
    <row r="63" spans="1:3" x14ac:dyDescent="0.2">
      <c r="A63">
        <v>1766</v>
      </c>
      <c r="B63">
        <v>16613</v>
      </c>
      <c r="C63">
        <v>1712</v>
      </c>
    </row>
    <row r="64" spans="1:3" x14ac:dyDescent="0.2">
      <c r="A64">
        <v>1767</v>
      </c>
      <c r="B64">
        <v>11941</v>
      </c>
      <c r="C64">
        <v>1652</v>
      </c>
    </row>
    <row r="65" spans="1:3" x14ac:dyDescent="0.2">
      <c r="A65">
        <v>1768</v>
      </c>
      <c r="B65">
        <v>10838</v>
      </c>
      <c r="C65">
        <v>1632</v>
      </c>
    </row>
    <row r="66" spans="1:3" x14ac:dyDescent="0.2">
      <c r="A66">
        <v>1769</v>
      </c>
      <c r="B66">
        <v>12312</v>
      </c>
      <c r="C66">
        <v>1612</v>
      </c>
    </row>
    <row r="67" spans="1:3" x14ac:dyDescent="0.2">
      <c r="A67">
        <v>1770</v>
      </c>
      <c r="B67">
        <v>14240</v>
      </c>
      <c r="C67">
        <v>1552</v>
      </c>
    </row>
    <row r="68" spans="1:3" x14ac:dyDescent="0.2">
      <c r="A68">
        <v>1771</v>
      </c>
      <c r="B68">
        <v>12335</v>
      </c>
      <c r="C68">
        <v>1612</v>
      </c>
    </row>
    <row r="69" spans="1:3" x14ac:dyDescent="0.2">
      <c r="A69">
        <v>1772</v>
      </c>
      <c r="B69">
        <v>16972</v>
      </c>
      <c r="C69">
        <v>1920</v>
      </c>
    </row>
    <row r="70" spans="1:3" x14ac:dyDescent="0.2">
      <c r="A70">
        <v>1773</v>
      </c>
      <c r="B70">
        <v>28266</v>
      </c>
      <c r="C70">
        <v>1780</v>
      </c>
    </row>
    <row r="71" spans="1:3" x14ac:dyDescent="0.2">
      <c r="A71">
        <v>1774</v>
      </c>
      <c r="B71">
        <v>33047</v>
      </c>
      <c r="C71">
        <v>1792</v>
      </c>
    </row>
    <row r="72" spans="1:3" x14ac:dyDescent="0.2">
      <c r="A72">
        <v>1775</v>
      </c>
      <c r="B72">
        <v>28004</v>
      </c>
      <c r="C72">
        <v>1444</v>
      </c>
    </row>
    <row r="73" spans="1:3" x14ac:dyDescent="0.2">
      <c r="A73">
        <v>1776</v>
      </c>
      <c r="B73">
        <v>35857</v>
      </c>
      <c r="C73">
        <v>1748</v>
      </c>
    </row>
    <row r="74" spans="1:3" x14ac:dyDescent="0.2">
      <c r="A74">
        <v>1777</v>
      </c>
      <c r="B74">
        <v>17824</v>
      </c>
      <c r="C74">
        <v>1708</v>
      </c>
    </row>
    <row r="75" spans="1:3" x14ac:dyDescent="0.2">
      <c r="A75">
        <v>1778</v>
      </c>
      <c r="B75">
        <v>12987</v>
      </c>
      <c r="C75">
        <v>1226</v>
      </c>
    </row>
    <row r="76" spans="1:3" x14ac:dyDescent="0.2">
      <c r="A76">
        <v>1779</v>
      </c>
      <c r="B76">
        <v>32074</v>
      </c>
      <c r="C76">
        <v>2000</v>
      </c>
    </row>
    <row r="77" spans="1:3" x14ac:dyDescent="0.2">
      <c r="A77">
        <v>1780</v>
      </c>
      <c r="B77">
        <v>22566</v>
      </c>
      <c r="C77">
        <v>1393</v>
      </c>
    </row>
    <row r="78" spans="1:3" x14ac:dyDescent="0.2">
      <c r="A78">
        <v>1781</v>
      </c>
      <c r="B78">
        <v>23401</v>
      </c>
      <c r="C78">
        <v>1158</v>
      </c>
    </row>
    <row r="79" spans="1:3" x14ac:dyDescent="0.2">
      <c r="A79">
        <v>1782</v>
      </c>
      <c r="B79">
        <v>4082</v>
      </c>
      <c r="C79">
        <v>49</v>
      </c>
    </row>
    <row r="80" spans="1:3" x14ac:dyDescent="0.2">
      <c r="A80">
        <v>1783</v>
      </c>
      <c r="B80">
        <v>2759</v>
      </c>
      <c r="C80">
        <v>1113</v>
      </c>
    </row>
    <row r="81" spans="1:3" x14ac:dyDescent="0.2">
      <c r="A81">
        <v>1784</v>
      </c>
      <c r="B81">
        <v>0</v>
      </c>
      <c r="C81">
        <v>860</v>
      </c>
    </row>
    <row r="82" spans="1:3" x14ac:dyDescent="0.2">
      <c r="A82">
        <v>1785</v>
      </c>
      <c r="B82">
        <v>100</v>
      </c>
      <c r="C82">
        <v>1404</v>
      </c>
    </row>
    <row r="83" spans="1:3" x14ac:dyDescent="0.2">
      <c r="A83">
        <v>1786</v>
      </c>
      <c r="B83">
        <v>0</v>
      </c>
      <c r="C83">
        <v>1580</v>
      </c>
    </row>
    <row r="84" spans="1:3" x14ac:dyDescent="0.2">
      <c r="A84">
        <v>1787</v>
      </c>
      <c r="B84">
        <v>2686</v>
      </c>
      <c r="C84">
        <v>2010</v>
      </c>
    </row>
    <row r="85" spans="1:3" x14ac:dyDescent="0.2">
      <c r="A85">
        <v>1788</v>
      </c>
      <c r="B85">
        <v>12040</v>
      </c>
      <c r="C85">
        <v>2393</v>
      </c>
    </row>
    <row r="86" spans="1:3" x14ac:dyDescent="0.2">
      <c r="A86">
        <v>1789</v>
      </c>
      <c r="B86">
        <v>74</v>
      </c>
      <c r="C86">
        <v>2461</v>
      </c>
    </row>
    <row r="87" spans="1:3" x14ac:dyDescent="0.2">
      <c r="A87">
        <v>1790</v>
      </c>
      <c r="B87">
        <v>2762</v>
      </c>
      <c r="C87">
        <v>1880</v>
      </c>
    </row>
    <row r="88" spans="1:3" x14ac:dyDescent="0.2">
      <c r="A88">
        <v>1791</v>
      </c>
      <c r="B88">
        <v>11937</v>
      </c>
      <c r="C88">
        <v>1994</v>
      </c>
    </row>
    <row r="89" spans="1:3" x14ac:dyDescent="0.2">
      <c r="A89">
        <v>1792</v>
      </c>
      <c r="B89">
        <v>1613</v>
      </c>
      <c r="C89">
        <v>1354</v>
      </c>
    </row>
    <row r="90" spans="1:3" x14ac:dyDescent="0.2">
      <c r="A90">
        <v>1793</v>
      </c>
      <c r="B90">
        <v>9679</v>
      </c>
      <c r="C90">
        <v>2655</v>
      </c>
    </row>
  </sheetData>
  <pageMargins left="0.75" right="0.75" top="1" bottom="1"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46"/>
  <sheetViews>
    <sheetView topLeftCell="A142" workbookViewId="0">
      <selection activeCell="L144" sqref="L144"/>
    </sheetView>
  </sheetViews>
  <sheetFormatPr defaultRowHeight="12.75" x14ac:dyDescent="0.2"/>
  <sheetData>
    <row r="1" spans="1:13" ht="15" x14ac:dyDescent="0.25">
      <c r="A1" s="35" t="s">
        <v>236</v>
      </c>
      <c r="B1" s="36" t="s">
        <v>237</v>
      </c>
      <c r="C1" s="36" t="s">
        <v>238</v>
      </c>
      <c r="D1" s="36" t="s">
        <v>239</v>
      </c>
      <c r="E1" s="36" t="s">
        <v>240</v>
      </c>
      <c r="F1" s="36" t="s">
        <v>241</v>
      </c>
      <c r="G1" s="36"/>
      <c r="H1" s="36"/>
    </row>
    <row r="2" spans="1:13" ht="15" x14ac:dyDescent="0.25">
      <c r="A2" s="37">
        <v>1652</v>
      </c>
      <c r="B2" s="36">
        <v>435</v>
      </c>
      <c r="C2" s="36">
        <v>0</v>
      </c>
      <c r="D2" s="38">
        <v>69.166669999999996</v>
      </c>
      <c r="E2" s="38">
        <f t="shared" ref="E2:E49" si="0">C2*D2</f>
        <v>0</v>
      </c>
      <c r="F2" s="38">
        <f t="shared" ref="F2:F65" si="1">B2+E2</f>
        <v>435</v>
      </c>
      <c r="G2" s="38">
        <f>+F2*100/365</f>
        <v>119.17808219178082</v>
      </c>
      <c r="H2" s="36"/>
      <c r="I2" s="5"/>
      <c r="K2" s="5"/>
      <c r="L2" s="5"/>
      <c r="M2" s="5"/>
    </row>
    <row r="3" spans="1:13" ht="15" x14ac:dyDescent="0.25">
      <c r="A3" s="39">
        <f t="shared" ref="A3:A66" si="2">A2+1</f>
        <v>1653</v>
      </c>
      <c r="B3" s="36">
        <v>374</v>
      </c>
      <c r="C3" s="36">
        <v>0</v>
      </c>
      <c r="D3" s="38">
        <v>23.8</v>
      </c>
      <c r="E3" s="38">
        <f t="shared" si="0"/>
        <v>0</v>
      </c>
      <c r="F3" s="38">
        <f t="shared" si="1"/>
        <v>374</v>
      </c>
      <c r="G3" s="38">
        <f>+F3*100/365</f>
        <v>102.46575342465754</v>
      </c>
      <c r="H3" s="36"/>
    </row>
    <row r="4" spans="1:13" ht="15" x14ac:dyDescent="0.25">
      <c r="A4" s="39">
        <f t="shared" si="2"/>
        <v>1654</v>
      </c>
      <c r="B4" s="36">
        <v>260</v>
      </c>
      <c r="C4" s="36">
        <v>0</v>
      </c>
      <c r="D4" s="38">
        <v>18.5</v>
      </c>
      <c r="E4" s="38">
        <f t="shared" si="0"/>
        <v>0</v>
      </c>
      <c r="F4" s="38">
        <f t="shared" si="1"/>
        <v>260</v>
      </c>
      <c r="G4" s="38">
        <f t="shared" ref="G4:G67" si="3">+F4*100/365</f>
        <v>71.232876712328761</v>
      </c>
      <c r="H4" s="36"/>
    </row>
    <row r="5" spans="1:13" ht="15" x14ac:dyDescent="0.25">
      <c r="A5" s="39">
        <f t="shared" si="2"/>
        <v>1655</v>
      </c>
      <c r="B5" s="36">
        <v>468</v>
      </c>
      <c r="C5" s="36">
        <v>0</v>
      </c>
      <c r="D5" s="38">
        <v>14.523809999999999</v>
      </c>
      <c r="E5" s="38">
        <f t="shared" si="0"/>
        <v>0</v>
      </c>
      <c r="F5" s="38">
        <f t="shared" si="1"/>
        <v>468</v>
      </c>
      <c r="G5" s="38">
        <f t="shared" si="3"/>
        <v>128.21917808219177</v>
      </c>
      <c r="H5" s="36"/>
    </row>
    <row r="6" spans="1:13" ht="15" x14ac:dyDescent="0.25">
      <c r="A6" s="39">
        <f t="shared" si="2"/>
        <v>1656</v>
      </c>
      <c r="B6" s="36">
        <v>421</v>
      </c>
      <c r="C6" s="36">
        <v>1</v>
      </c>
      <c r="D6" s="38">
        <v>11</v>
      </c>
      <c r="E6" s="38">
        <f t="shared" si="0"/>
        <v>11</v>
      </c>
      <c r="F6" s="38">
        <f t="shared" si="1"/>
        <v>432</v>
      </c>
      <c r="G6" s="38">
        <f t="shared" si="3"/>
        <v>118.35616438356165</v>
      </c>
      <c r="H6" s="36"/>
    </row>
    <row r="7" spans="1:13" ht="15" x14ac:dyDescent="0.25">
      <c r="A7" s="39">
        <f t="shared" si="2"/>
        <v>1657</v>
      </c>
      <c r="B7" s="36">
        <v>334</v>
      </c>
      <c r="C7" s="36">
        <v>2</v>
      </c>
      <c r="D7" s="38">
        <v>16.846150000000002</v>
      </c>
      <c r="E7" s="38">
        <f t="shared" si="0"/>
        <v>33.692300000000003</v>
      </c>
      <c r="F7" s="38">
        <f t="shared" si="1"/>
        <v>367.69229999999999</v>
      </c>
      <c r="G7" s="38">
        <f t="shared" si="3"/>
        <v>100.73761643835616</v>
      </c>
      <c r="H7" s="36"/>
    </row>
    <row r="8" spans="1:13" ht="15" x14ac:dyDescent="0.25">
      <c r="A8" s="39">
        <f t="shared" si="2"/>
        <v>1658</v>
      </c>
      <c r="B8" s="36">
        <v>337</v>
      </c>
      <c r="C8" s="36">
        <v>0</v>
      </c>
      <c r="D8" s="38">
        <v>13.125</v>
      </c>
      <c r="E8" s="38">
        <f t="shared" si="0"/>
        <v>0</v>
      </c>
      <c r="F8" s="38">
        <f t="shared" si="1"/>
        <v>337</v>
      </c>
      <c r="G8" s="38">
        <f t="shared" si="3"/>
        <v>92.328767123287676</v>
      </c>
      <c r="H8" s="36"/>
    </row>
    <row r="9" spans="1:13" ht="15" x14ac:dyDescent="0.25">
      <c r="A9" s="39">
        <f t="shared" si="2"/>
        <v>1659</v>
      </c>
      <c r="B9" s="36">
        <v>466</v>
      </c>
      <c r="C9" s="36">
        <v>2</v>
      </c>
      <c r="D9" s="38">
        <v>16.27778</v>
      </c>
      <c r="E9" s="38">
        <f t="shared" si="0"/>
        <v>32.55556</v>
      </c>
      <c r="F9" s="38">
        <f t="shared" si="1"/>
        <v>498.55556000000001</v>
      </c>
      <c r="G9" s="38">
        <f t="shared" si="3"/>
        <v>136.59056438356166</v>
      </c>
      <c r="H9" s="36"/>
    </row>
    <row r="10" spans="1:13" ht="15" x14ac:dyDescent="0.25">
      <c r="A10" s="39">
        <f t="shared" si="2"/>
        <v>1660</v>
      </c>
      <c r="B10" s="36">
        <v>647</v>
      </c>
      <c r="C10" s="36">
        <v>0</v>
      </c>
      <c r="D10" s="38">
        <v>33.625</v>
      </c>
      <c r="E10" s="38">
        <f t="shared" si="0"/>
        <v>0</v>
      </c>
      <c r="F10" s="38">
        <f t="shared" si="1"/>
        <v>647</v>
      </c>
      <c r="G10" s="38">
        <f t="shared" si="3"/>
        <v>177.26027397260273</v>
      </c>
      <c r="H10" s="36"/>
    </row>
    <row r="11" spans="1:13" ht="15" x14ac:dyDescent="0.25">
      <c r="A11" s="39">
        <f t="shared" si="2"/>
        <v>1661</v>
      </c>
      <c r="B11" s="36">
        <v>733</v>
      </c>
      <c r="C11" s="36">
        <v>0</v>
      </c>
      <c r="D11" s="38">
        <v>17.521740000000001</v>
      </c>
      <c r="E11" s="38">
        <f t="shared" si="0"/>
        <v>0</v>
      </c>
      <c r="F11" s="38">
        <f t="shared" si="1"/>
        <v>733</v>
      </c>
      <c r="G11" s="38">
        <f t="shared" si="3"/>
        <v>200.82191780821918</v>
      </c>
      <c r="H11" s="36"/>
    </row>
    <row r="12" spans="1:13" ht="15" x14ac:dyDescent="0.25">
      <c r="A12" s="39">
        <f t="shared" si="2"/>
        <v>1662</v>
      </c>
      <c r="B12" s="36">
        <v>544</v>
      </c>
      <c r="C12" s="36">
        <v>0</v>
      </c>
      <c r="D12" s="38">
        <v>49.136360000000003</v>
      </c>
      <c r="E12" s="38">
        <f t="shared" si="0"/>
        <v>0</v>
      </c>
      <c r="F12" s="38">
        <f t="shared" si="1"/>
        <v>544</v>
      </c>
      <c r="G12" s="38">
        <f t="shared" si="3"/>
        <v>149.04109589041096</v>
      </c>
      <c r="H12" s="36"/>
    </row>
    <row r="13" spans="1:13" ht="15" x14ac:dyDescent="0.25">
      <c r="A13" s="39">
        <f t="shared" si="2"/>
        <v>1663</v>
      </c>
      <c r="B13" s="36">
        <v>936</v>
      </c>
      <c r="C13" s="36">
        <v>0</v>
      </c>
      <c r="D13" s="38">
        <v>14.73077</v>
      </c>
      <c r="E13" s="38">
        <f t="shared" si="0"/>
        <v>0</v>
      </c>
      <c r="F13" s="38">
        <f t="shared" si="1"/>
        <v>936</v>
      </c>
      <c r="G13" s="38">
        <f t="shared" si="3"/>
        <v>256.43835616438355</v>
      </c>
      <c r="H13" s="36"/>
    </row>
    <row r="14" spans="1:13" ht="15" x14ac:dyDescent="0.25">
      <c r="A14" s="39">
        <f t="shared" si="2"/>
        <v>1664</v>
      </c>
      <c r="B14" s="36">
        <v>711</v>
      </c>
      <c r="C14" s="36">
        <v>1</v>
      </c>
      <c r="D14" s="38">
        <v>12.71429</v>
      </c>
      <c r="E14" s="38">
        <f t="shared" si="0"/>
        <v>12.71429</v>
      </c>
      <c r="F14" s="38">
        <f t="shared" si="1"/>
        <v>723.71429000000001</v>
      </c>
      <c r="G14" s="38">
        <f t="shared" si="3"/>
        <v>198.27788767123289</v>
      </c>
      <c r="H14" s="36"/>
    </row>
    <row r="15" spans="1:13" ht="15" x14ac:dyDescent="0.25">
      <c r="A15" s="39">
        <f t="shared" si="2"/>
        <v>1665</v>
      </c>
      <c r="B15" s="36">
        <v>1144</v>
      </c>
      <c r="C15" s="36">
        <v>1</v>
      </c>
      <c r="D15" s="38">
        <v>60.733330000000002</v>
      </c>
      <c r="E15" s="38">
        <f t="shared" si="0"/>
        <v>60.733330000000002</v>
      </c>
      <c r="F15" s="38">
        <f t="shared" si="1"/>
        <v>1204.73333</v>
      </c>
      <c r="G15" s="38">
        <f t="shared" si="3"/>
        <v>330.06392602739726</v>
      </c>
      <c r="H15" s="36"/>
    </row>
    <row r="16" spans="1:13" ht="15" x14ac:dyDescent="0.25">
      <c r="A16" s="39">
        <f t="shared" si="2"/>
        <v>1666</v>
      </c>
      <c r="B16" s="36">
        <v>897</v>
      </c>
      <c r="C16" s="36">
        <v>0</v>
      </c>
      <c r="D16" s="38">
        <v>19.285710000000002</v>
      </c>
      <c r="E16" s="38">
        <f t="shared" si="0"/>
        <v>0</v>
      </c>
      <c r="F16" s="38">
        <f t="shared" si="1"/>
        <v>897</v>
      </c>
      <c r="G16" s="38">
        <f t="shared" si="3"/>
        <v>245.75342465753425</v>
      </c>
      <c r="H16" s="36"/>
    </row>
    <row r="17" spans="1:8" ht="15" x14ac:dyDescent="0.25">
      <c r="A17" s="39">
        <f t="shared" si="2"/>
        <v>1667</v>
      </c>
      <c r="B17" s="36">
        <v>694</v>
      </c>
      <c r="C17" s="36">
        <v>0</v>
      </c>
      <c r="D17" s="38">
        <v>16.76923</v>
      </c>
      <c r="E17" s="38">
        <f t="shared" si="0"/>
        <v>0</v>
      </c>
      <c r="F17" s="38">
        <f t="shared" si="1"/>
        <v>694</v>
      </c>
      <c r="G17" s="38">
        <f t="shared" si="3"/>
        <v>190.13698630136986</v>
      </c>
      <c r="H17" s="36"/>
    </row>
    <row r="18" spans="1:8" ht="15" x14ac:dyDescent="0.25">
      <c r="A18" s="39">
        <f t="shared" si="2"/>
        <v>1668</v>
      </c>
      <c r="B18" s="36">
        <v>1027</v>
      </c>
      <c r="C18" s="36">
        <v>0</v>
      </c>
      <c r="D18" s="38">
        <v>20.941179999999999</v>
      </c>
      <c r="E18" s="38">
        <f t="shared" si="0"/>
        <v>0</v>
      </c>
      <c r="F18" s="38">
        <f t="shared" si="1"/>
        <v>1027</v>
      </c>
      <c r="G18" s="38">
        <f t="shared" si="3"/>
        <v>281.36986301369865</v>
      </c>
      <c r="H18" s="36"/>
    </row>
    <row r="19" spans="1:8" ht="15" x14ac:dyDescent="0.25">
      <c r="A19" s="39">
        <f t="shared" si="2"/>
        <v>1669</v>
      </c>
      <c r="B19" s="36">
        <v>902</v>
      </c>
      <c r="C19" s="36">
        <v>1</v>
      </c>
      <c r="D19" s="38">
        <v>14.61111</v>
      </c>
      <c r="E19" s="38">
        <f t="shared" si="0"/>
        <v>14.61111</v>
      </c>
      <c r="F19" s="38">
        <f t="shared" si="1"/>
        <v>916.61111000000005</v>
      </c>
      <c r="G19" s="38">
        <f t="shared" si="3"/>
        <v>251.12633150684934</v>
      </c>
      <c r="H19" s="36"/>
    </row>
    <row r="20" spans="1:8" ht="15" x14ac:dyDescent="0.25">
      <c r="A20" s="39">
        <f t="shared" si="2"/>
        <v>1670</v>
      </c>
      <c r="B20" s="36">
        <v>856</v>
      </c>
      <c r="C20" s="36">
        <v>1</v>
      </c>
      <c r="D20" s="38">
        <v>12.739129999999999</v>
      </c>
      <c r="E20" s="38">
        <f t="shared" si="0"/>
        <v>12.739129999999999</v>
      </c>
      <c r="F20" s="38">
        <f t="shared" si="1"/>
        <v>868.73913000000005</v>
      </c>
      <c r="G20" s="38">
        <f t="shared" si="3"/>
        <v>238.0107205479452</v>
      </c>
      <c r="H20" s="36"/>
    </row>
    <row r="21" spans="1:8" ht="15" x14ac:dyDescent="0.25">
      <c r="A21" s="39">
        <f t="shared" si="2"/>
        <v>1671</v>
      </c>
      <c r="B21" s="36">
        <v>778</v>
      </c>
      <c r="C21" s="36">
        <v>0</v>
      </c>
      <c r="D21" s="38">
        <v>25.73077</v>
      </c>
      <c r="E21" s="38">
        <f t="shared" si="0"/>
        <v>0</v>
      </c>
      <c r="F21" s="38">
        <f t="shared" si="1"/>
        <v>778</v>
      </c>
      <c r="G21" s="38">
        <f t="shared" si="3"/>
        <v>213.15068493150685</v>
      </c>
      <c r="H21" s="36"/>
    </row>
    <row r="22" spans="1:8" ht="15" x14ac:dyDescent="0.25">
      <c r="A22" s="39">
        <f t="shared" si="2"/>
        <v>1672</v>
      </c>
      <c r="B22" s="36">
        <v>1560</v>
      </c>
      <c r="C22" s="36">
        <v>2</v>
      </c>
      <c r="D22" s="38">
        <v>37.700000000000003</v>
      </c>
      <c r="E22" s="38">
        <f t="shared" si="0"/>
        <v>75.400000000000006</v>
      </c>
      <c r="F22" s="38">
        <f t="shared" si="1"/>
        <v>1635.4</v>
      </c>
      <c r="G22" s="38">
        <f t="shared" si="3"/>
        <v>448.05479452054794</v>
      </c>
      <c r="H22" s="36"/>
    </row>
    <row r="23" spans="1:8" ht="15" x14ac:dyDescent="0.25">
      <c r="A23" s="39">
        <f t="shared" si="2"/>
        <v>1673</v>
      </c>
      <c r="B23" s="36">
        <v>622</v>
      </c>
      <c r="C23" s="36">
        <v>0</v>
      </c>
      <c r="D23" s="38">
        <v>20.625</v>
      </c>
      <c r="E23" s="38">
        <f t="shared" si="0"/>
        <v>0</v>
      </c>
      <c r="F23" s="38">
        <f t="shared" si="1"/>
        <v>622</v>
      </c>
      <c r="G23" s="38">
        <f t="shared" si="3"/>
        <v>170.41095890410958</v>
      </c>
      <c r="H23" s="36"/>
    </row>
    <row r="24" spans="1:8" ht="15" x14ac:dyDescent="0.25">
      <c r="A24" s="39">
        <f t="shared" si="2"/>
        <v>1674</v>
      </c>
      <c r="B24" s="36">
        <v>904</v>
      </c>
      <c r="C24" s="36">
        <v>0</v>
      </c>
      <c r="D24" s="38">
        <v>35.125</v>
      </c>
      <c r="E24" s="38">
        <f t="shared" si="0"/>
        <v>0</v>
      </c>
      <c r="F24" s="38">
        <f t="shared" si="1"/>
        <v>904</v>
      </c>
      <c r="G24" s="38">
        <f t="shared" si="3"/>
        <v>247.67123287671234</v>
      </c>
      <c r="H24" s="36"/>
    </row>
    <row r="25" spans="1:8" ht="15" x14ac:dyDescent="0.25">
      <c r="A25" s="39">
        <f t="shared" si="2"/>
        <v>1675</v>
      </c>
      <c r="B25" s="36">
        <v>931</v>
      </c>
      <c r="C25" s="36">
        <v>1</v>
      </c>
      <c r="D25" s="38">
        <v>26.913039999999999</v>
      </c>
      <c r="E25" s="38">
        <f t="shared" si="0"/>
        <v>26.913039999999999</v>
      </c>
      <c r="F25" s="38">
        <f t="shared" si="1"/>
        <v>957.91304000000002</v>
      </c>
      <c r="G25" s="38">
        <f t="shared" si="3"/>
        <v>262.44192876712327</v>
      </c>
      <c r="H25" s="36"/>
    </row>
    <row r="26" spans="1:8" ht="15" x14ac:dyDescent="0.25">
      <c r="A26" s="39">
        <f t="shared" si="2"/>
        <v>1676</v>
      </c>
      <c r="B26" s="36">
        <v>1127</v>
      </c>
      <c r="C26" s="36">
        <v>0</v>
      </c>
      <c r="D26" s="38">
        <v>45.16</v>
      </c>
      <c r="E26" s="38">
        <f t="shared" si="0"/>
        <v>0</v>
      </c>
      <c r="F26" s="38">
        <f t="shared" si="1"/>
        <v>1127</v>
      </c>
      <c r="G26" s="38">
        <f t="shared" si="3"/>
        <v>308.76712328767121</v>
      </c>
      <c r="H26" s="36"/>
    </row>
    <row r="27" spans="1:8" ht="15" x14ac:dyDescent="0.25">
      <c r="A27" s="39">
        <f t="shared" si="2"/>
        <v>1677</v>
      </c>
      <c r="B27" s="36">
        <v>1268</v>
      </c>
      <c r="C27" s="36">
        <v>0</v>
      </c>
      <c r="D27" s="38">
        <v>24.571429999999999</v>
      </c>
      <c r="E27" s="38">
        <f t="shared" si="0"/>
        <v>0</v>
      </c>
      <c r="F27" s="38">
        <f t="shared" si="1"/>
        <v>1268</v>
      </c>
      <c r="G27" s="38">
        <f t="shared" si="3"/>
        <v>347.39726027397262</v>
      </c>
      <c r="H27" s="36"/>
    </row>
    <row r="28" spans="1:8" ht="15" x14ac:dyDescent="0.25">
      <c r="A28" s="39">
        <f t="shared" si="2"/>
        <v>1678</v>
      </c>
      <c r="B28" s="36">
        <v>753</v>
      </c>
      <c r="C28" s="36">
        <v>1</v>
      </c>
      <c r="D28" s="38">
        <v>23.789470000000001</v>
      </c>
      <c r="E28" s="38">
        <f t="shared" si="0"/>
        <v>23.789470000000001</v>
      </c>
      <c r="F28" s="38">
        <f t="shared" si="1"/>
        <v>776.78947000000005</v>
      </c>
      <c r="G28" s="38">
        <f t="shared" si="3"/>
        <v>212.81903287671233</v>
      </c>
      <c r="H28" s="36"/>
    </row>
    <row r="29" spans="1:8" ht="15" x14ac:dyDescent="0.25">
      <c r="A29" s="39">
        <f t="shared" si="2"/>
        <v>1679</v>
      </c>
      <c r="B29" s="36">
        <v>537</v>
      </c>
      <c r="C29" s="36">
        <v>1</v>
      </c>
      <c r="D29" s="38">
        <v>19.75</v>
      </c>
      <c r="E29" s="38">
        <f t="shared" si="0"/>
        <v>19.75</v>
      </c>
      <c r="F29" s="38">
        <f t="shared" si="1"/>
        <v>556.75</v>
      </c>
      <c r="G29" s="38">
        <f t="shared" si="3"/>
        <v>152.53424657534248</v>
      </c>
      <c r="H29" s="36"/>
    </row>
    <row r="30" spans="1:8" ht="15" x14ac:dyDescent="0.25">
      <c r="A30" s="39">
        <f t="shared" si="2"/>
        <v>1680</v>
      </c>
      <c r="B30" s="36">
        <v>638</v>
      </c>
      <c r="C30" s="36">
        <v>1</v>
      </c>
      <c r="D30" s="38">
        <v>46.571429999999999</v>
      </c>
      <c r="E30" s="38">
        <f t="shared" si="0"/>
        <v>46.571429999999999</v>
      </c>
      <c r="F30" s="38">
        <f t="shared" si="1"/>
        <v>684.57142999999996</v>
      </c>
      <c r="G30" s="38">
        <f t="shared" si="3"/>
        <v>187.55381643835617</v>
      </c>
      <c r="H30" s="36"/>
    </row>
    <row r="31" spans="1:8" ht="15" x14ac:dyDescent="0.25">
      <c r="A31" s="39">
        <f t="shared" si="2"/>
        <v>1681</v>
      </c>
      <c r="B31" s="36">
        <v>1081</v>
      </c>
      <c r="C31" s="36">
        <v>1</v>
      </c>
      <c r="D31" s="38">
        <v>25.526319999999998</v>
      </c>
      <c r="E31" s="38">
        <f t="shared" si="0"/>
        <v>25.526319999999998</v>
      </c>
      <c r="F31" s="38">
        <f t="shared" si="1"/>
        <v>1106.5263199999999</v>
      </c>
      <c r="G31" s="38">
        <f t="shared" si="3"/>
        <v>303.15789589041094</v>
      </c>
      <c r="H31" s="36"/>
    </row>
    <row r="32" spans="1:8" ht="15" x14ac:dyDescent="0.25">
      <c r="A32" s="39">
        <f t="shared" si="2"/>
        <v>1682</v>
      </c>
      <c r="B32" s="36">
        <v>870</v>
      </c>
      <c r="C32" s="36">
        <v>3</v>
      </c>
      <c r="D32" s="38">
        <v>25.210529999999999</v>
      </c>
      <c r="E32" s="38">
        <f t="shared" si="0"/>
        <v>75.631589999999989</v>
      </c>
      <c r="F32" s="38">
        <f t="shared" si="1"/>
        <v>945.63158999999996</v>
      </c>
      <c r="G32" s="38">
        <f t="shared" si="3"/>
        <v>259.07714794520547</v>
      </c>
      <c r="H32" s="36"/>
    </row>
    <row r="33" spans="1:8" ht="15" x14ac:dyDescent="0.25">
      <c r="A33" s="39">
        <f t="shared" si="2"/>
        <v>1683</v>
      </c>
      <c r="B33" s="36">
        <v>668</v>
      </c>
      <c r="C33" s="36">
        <v>2</v>
      </c>
      <c r="D33" s="38">
        <v>21.714289999999998</v>
      </c>
      <c r="E33" s="38">
        <f t="shared" si="0"/>
        <v>43.428579999999997</v>
      </c>
      <c r="F33" s="38">
        <f t="shared" si="1"/>
        <v>711.42858000000001</v>
      </c>
      <c r="G33" s="38">
        <f t="shared" si="3"/>
        <v>194.91193972602741</v>
      </c>
      <c r="H33" s="36"/>
    </row>
    <row r="34" spans="1:8" ht="15" x14ac:dyDescent="0.25">
      <c r="A34" s="39">
        <f t="shared" si="2"/>
        <v>1684</v>
      </c>
      <c r="B34" s="36">
        <v>1216</v>
      </c>
      <c r="C34" s="36">
        <v>0</v>
      </c>
      <c r="D34" s="38">
        <v>27</v>
      </c>
      <c r="E34" s="38">
        <f t="shared" si="0"/>
        <v>0</v>
      </c>
      <c r="F34" s="38">
        <f t="shared" si="1"/>
        <v>1216</v>
      </c>
      <c r="G34" s="38">
        <f t="shared" si="3"/>
        <v>333.15068493150687</v>
      </c>
      <c r="H34" s="36"/>
    </row>
    <row r="35" spans="1:8" ht="15" x14ac:dyDescent="0.25">
      <c r="A35" s="39">
        <f t="shared" si="2"/>
        <v>1685</v>
      </c>
      <c r="B35" s="36">
        <v>901</v>
      </c>
      <c r="C35" s="36">
        <v>1</v>
      </c>
      <c r="D35" s="38">
        <v>34.263159999999999</v>
      </c>
      <c r="E35" s="38">
        <f t="shared" si="0"/>
        <v>34.263159999999999</v>
      </c>
      <c r="F35" s="38">
        <f t="shared" si="1"/>
        <v>935.26315999999997</v>
      </c>
      <c r="G35" s="38">
        <f t="shared" si="3"/>
        <v>256.23648219178079</v>
      </c>
      <c r="H35" s="36"/>
    </row>
    <row r="36" spans="1:8" ht="15" x14ac:dyDescent="0.25">
      <c r="A36" s="39">
        <f t="shared" si="2"/>
        <v>1686</v>
      </c>
      <c r="B36" s="36">
        <v>775</v>
      </c>
      <c r="C36" s="36">
        <v>3</v>
      </c>
      <c r="D36" s="38">
        <v>21.176469999999998</v>
      </c>
      <c r="E36" s="38">
        <f t="shared" si="0"/>
        <v>63.529409999999999</v>
      </c>
      <c r="F36" s="38">
        <f t="shared" si="1"/>
        <v>838.52940999999998</v>
      </c>
      <c r="G36" s="38">
        <f t="shared" si="3"/>
        <v>229.73408493150683</v>
      </c>
      <c r="H36" s="36"/>
    </row>
    <row r="37" spans="1:8" ht="15" x14ac:dyDescent="0.25">
      <c r="A37" s="39">
        <f t="shared" si="2"/>
        <v>1687</v>
      </c>
      <c r="B37" s="36">
        <v>940</v>
      </c>
      <c r="C37" s="36">
        <v>6</v>
      </c>
      <c r="D37" s="38">
        <v>21.625</v>
      </c>
      <c r="E37" s="38">
        <f t="shared" si="0"/>
        <v>129.75</v>
      </c>
      <c r="F37" s="38">
        <f t="shared" si="1"/>
        <v>1069.75</v>
      </c>
      <c r="G37" s="38">
        <f t="shared" si="3"/>
        <v>293.08219178082192</v>
      </c>
      <c r="H37" s="36"/>
    </row>
    <row r="38" spans="1:8" ht="15" x14ac:dyDescent="0.25">
      <c r="A38" s="39">
        <f t="shared" si="2"/>
        <v>1688</v>
      </c>
      <c r="B38" s="36">
        <v>769</v>
      </c>
      <c r="C38" s="36">
        <v>1</v>
      </c>
      <c r="D38" s="38">
        <v>23.125</v>
      </c>
      <c r="E38" s="38">
        <f t="shared" si="0"/>
        <v>23.125</v>
      </c>
      <c r="F38" s="38">
        <f t="shared" si="1"/>
        <v>792.125</v>
      </c>
      <c r="G38" s="38">
        <f t="shared" si="3"/>
        <v>217.02054794520549</v>
      </c>
      <c r="H38" s="36"/>
    </row>
    <row r="39" spans="1:8" ht="15" x14ac:dyDescent="0.25">
      <c r="A39" s="39">
        <f t="shared" si="2"/>
        <v>1689</v>
      </c>
      <c r="B39" s="36">
        <v>981</v>
      </c>
      <c r="C39" s="36">
        <v>2</v>
      </c>
      <c r="D39" s="38">
        <v>27.33333</v>
      </c>
      <c r="E39" s="38">
        <f t="shared" si="0"/>
        <v>54.66666</v>
      </c>
      <c r="F39" s="38">
        <f t="shared" si="1"/>
        <v>1035.6666600000001</v>
      </c>
      <c r="G39" s="38">
        <f t="shared" si="3"/>
        <v>283.74429041095891</v>
      </c>
      <c r="H39" s="36"/>
    </row>
    <row r="40" spans="1:8" ht="15" x14ac:dyDescent="0.25">
      <c r="A40" s="39">
        <f t="shared" si="2"/>
        <v>1690</v>
      </c>
      <c r="B40" s="36">
        <v>1600</v>
      </c>
      <c r="C40" s="36">
        <v>0</v>
      </c>
      <c r="D40" s="38">
        <v>56.117649999999998</v>
      </c>
      <c r="E40" s="38">
        <f t="shared" si="0"/>
        <v>0</v>
      </c>
      <c r="F40" s="38">
        <f t="shared" si="1"/>
        <v>1600</v>
      </c>
      <c r="G40" s="38">
        <f t="shared" si="3"/>
        <v>438.35616438356163</v>
      </c>
      <c r="H40" s="36"/>
    </row>
    <row r="41" spans="1:8" ht="15" x14ac:dyDescent="0.25">
      <c r="A41" s="39">
        <f t="shared" si="2"/>
        <v>1691</v>
      </c>
      <c r="B41" s="36">
        <v>1114</v>
      </c>
      <c r="C41" s="36">
        <v>1</v>
      </c>
      <c r="D41" s="38">
        <v>31.75</v>
      </c>
      <c r="E41" s="38">
        <f t="shared" si="0"/>
        <v>31.75</v>
      </c>
      <c r="F41" s="38">
        <f t="shared" si="1"/>
        <v>1145.75</v>
      </c>
      <c r="G41" s="38">
        <f t="shared" si="3"/>
        <v>313.90410958904107</v>
      </c>
      <c r="H41" s="36"/>
    </row>
    <row r="42" spans="1:8" ht="15" x14ac:dyDescent="0.25">
      <c r="A42" s="39">
        <f t="shared" si="2"/>
        <v>1692</v>
      </c>
      <c r="B42" s="36">
        <v>894</v>
      </c>
      <c r="C42" s="36">
        <v>0</v>
      </c>
      <c r="D42" s="38">
        <v>33.578949999999999</v>
      </c>
      <c r="E42" s="38">
        <f t="shared" si="0"/>
        <v>0</v>
      </c>
      <c r="F42" s="38">
        <f t="shared" si="1"/>
        <v>894</v>
      </c>
      <c r="G42" s="38">
        <f t="shared" si="3"/>
        <v>244.93150684931507</v>
      </c>
      <c r="H42" s="36"/>
    </row>
    <row r="43" spans="1:8" ht="15" x14ac:dyDescent="0.25">
      <c r="A43" s="39">
        <f t="shared" si="2"/>
        <v>1693</v>
      </c>
      <c r="B43" s="36">
        <v>1058</v>
      </c>
      <c r="C43" s="36">
        <v>0</v>
      </c>
      <c r="D43" s="38">
        <v>25.25</v>
      </c>
      <c r="E43" s="38">
        <f t="shared" si="0"/>
        <v>0</v>
      </c>
      <c r="F43" s="38">
        <f t="shared" si="1"/>
        <v>1058</v>
      </c>
      <c r="G43" s="38">
        <f t="shared" si="3"/>
        <v>289.86301369863014</v>
      </c>
      <c r="H43" s="36"/>
    </row>
    <row r="44" spans="1:8" ht="15" x14ac:dyDescent="0.25">
      <c r="A44" s="39">
        <f t="shared" si="2"/>
        <v>1694</v>
      </c>
      <c r="B44" s="36">
        <v>1085</v>
      </c>
      <c r="C44" s="36">
        <v>0</v>
      </c>
      <c r="D44" s="38">
        <v>38.333329999999997</v>
      </c>
      <c r="E44" s="38">
        <f t="shared" si="0"/>
        <v>0</v>
      </c>
      <c r="F44" s="38">
        <f t="shared" si="1"/>
        <v>1085</v>
      </c>
      <c r="G44" s="38">
        <f t="shared" si="3"/>
        <v>297.26027397260276</v>
      </c>
      <c r="H44" s="36"/>
    </row>
    <row r="45" spans="1:8" ht="15" x14ac:dyDescent="0.25">
      <c r="A45" s="39">
        <f t="shared" si="2"/>
        <v>1695</v>
      </c>
      <c r="B45" s="36">
        <v>1536</v>
      </c>
      <c r="C45" s="36">
        <v>0</v>
      </c>
      <c r="D45" s="38">
        <v>32.965519999999998</v>
      </c>
      <c r="E45" s="38">
        <f t="shared" si="0"/>
        <v>0</v>
      </c>
      <c r="F45" s="38">
        <f t="shared" si="1"/>
        <v>1536</v>
      </c>
      <c r="G45" s="38">
        <f t="shared" si="3"/>
        <v>420.82191780821915</v>
      </c>
      <c r="H45" s="36"/>
    </row>
    <row r="46" spans="1:8" ht="15" x14ac:dyDescent="0.25">
      <c r="A46" s="39">
        <f t="shared" si="2"/>
        <v>1696</v>
      </c>
      <c r="B46" s="36">
        <v>915</v>
      </c>
      <c r="C46" s="36">
        <v>0</v>
      </c>
      <c r="D46" s="38">
        <v>39.619050000000001</v>
      </c>
      <c r="E46" s="38">
        <f t="shared" si="0"/>
        <v>0</v>
      </c>
      <c r="F46" s="38">
        <f t="shared" si="1"/>
        <v>915</v>
      </c>
      <c r="G46" s="38">
        <f t="shared" si="3"/>
        <v>250.68493150684932</v>
      </c>
      <c r="H46" s="36"/>
    </row>
    <row r="47" spans="1:8" ht="15" x14ac:dyDescent="0.25">
      <c r="A47" s="39">
        <f t="shared" si="2"/>
        <v>1697</v>
      </c>
      <c r="B47" s="36">
        <v>1743</v>
      </c>
      <c r="C47" s="36">
        <v>0</v>
      </c>
      <c r="D47" s="38">
        <v>28.454550000000001</v>
      </c>
      <c r="E47" s="38">
        <f t="shared" si="0"/>
        <v>0</v>
      </c>
      <c r="F47" s="38">
        <f t="shared" si="1"/>
        <v>1743</v>
      </c>
      <c r="G47" s="38">
        <f t="shared" si="3"/>
        <v>477.53424657534248</v>
      </c>
      <c r="H47" s="36"/>
    </row>
    <row r="48" spans="1:8" ht="15" x14ac:dyDescent="0.25">
      <c r="A48" s="39">
        <f t="shared" si="2"/>
        <v>1698</v>
      </c>
      <c r="B48" s="36">
        <v>645</v>
      </c>
      <c r="C48" s="36">
        <v>0</v>
      </c>
      <c r="D48" s="38">
        <v>19.91667</v>
      </c>
      <c r="E48" s="38">
        <f t="shared" si="0"/>
        <v>0</v>
      </c>
      <c r="F48" s="38">
        <f t="shared" si="1"/>
        <v>645</v>
      </c>
      <c r="G48" s="38">
        <f t="shared" si="3"/>
        <v>176.7123287671233</v>
      </c>
      <c r="H48" s="36"/>
    </row>
    <row r="49" spans="1:8" ht="15" x14ac:dyDescent="0.25">
      <c r="A49" s="39">
        <f t="shared" si="2"/>
        <v>1699</v>
      </c>
      <c r="B49" s="36">
        <v>1439</v>
      </c>
      <c r="C49" s="36">
        <v>2</v>
      </c>
      <c r="D49" s="38">
        <v>27.066669999999998</v>
      </c>
      <c r="E49" s="38">
        <f t="shared" si="0"/>
        <v>54.133339999999997</v>
      </c>
      <c r="F49" s="38">
        <f t="shared" si="1"/>
        <v>1493.1333400000001</v>
      </c>
      <c r="G49" s="38">
        <f t="shared" si="3"/>
        <v>409.0776273972603</v>
      </c>
      <c r="H49" s="36"/>
    </row>
    <row r="50" spans="1:8" ht="15" x14ac:dyDescent="0.25">
      <c r="A50" s="39">
        <f t="shared" si="2"/>
        <v>1700</v>
      </c>
      <c r="B50" s="36">
        <v>1056</v>
      </c>
      <c r="C50" s="36">
        <v>14</v>
      </c>
      <c r="D50" s="38">
        <v>23.2</v>
      </c>
      <c r="E50" s="38">
        <f>C50*D50</f>
        <v>324.8</v>
      </c>
      <c r="F50" s="38">
        <f t="shared" si="1"/>
        <v>1380.8</v>
      </c>
      <c r="G50" s="38">
        <f t="shared" si="3"/>
        <v>378.30136986301369</v>
      </c>
      <c r="H50" s="36"/>
    </row>
    <row r="51" spans="1:8" ht="15" x14ac:dyDescent="0.25">
      <c r="A51" s="39">
        <f t="shared" si="2"/>
        <v>1701</v>
      </c>
      <c r="B51" s="36">
        <v>1039</v>
      </c>
      <c r="C51" s="36">
        <v>20</v>
      </c>
      <c r="D51" s="38">
        <v>24.259260000000001</v>
      </c>
      <c r="E51" s="38">
        <f t="shared" ref="E51:E114" si="4">C51*D51</f>
        <v>485.18520000000001</v>
      </c>
      <c r="F51" s="38">
        <f t="shared" si="1"/>
        <v>1524.1851999999999</v>
      </c>
      <c r="G51" s="38">
        <f t="shared" si="3"/>
        <v>417.58498630136984</v>
      </c>
      <c r="H51" s="36"/>
    </row>
    <row r="52" spans="1:8" ht="15" x14ac:dyDescent="0.25">
      <c r="A52" s="39">
        <f t="shared" si="2"/>
        <v>1702</v>
      </c>
      <c r="B52" s="36">
        <v>1240</v>
      </c>
      <c r="C52" s="36">
        <v>24</v>
      </c>
      <c r="D52" s="38">
        <v>23.433330000000002</v>
      </c>
      <c r="E52" s="38">
        <f t="shared" si="4"/>
        <v>562.39992000000007</v>
      </c>
      <c r="F52" s="38">
        <f t="shared" si="1"/>
        <v>1802.3999200000001</v>
      </c>
      <c r="G52" s="38">
        <f t="shared" si="3"/>
        <v>493.80819726027397</v>
      </c>
      <c r="H52" s="36"/>
    </row>
    <row r="53" spans="1:8" ht="15" x14ac:dyDescent="0.25">
      <c r="A53" s="39">
        <f t="shared" si="2"/>
        <v>1703</v>
      </c>
      <c r="B53" s="36">
        <v>1233</v>
      </c>
      <c r="C53" s="36">
        <v>27</v>
      </c>
      <c r="D53" s="38">
        <v>27.607140000000001</v>
      </c>
      <c r="E53" s="38">
        <f t="shared" si="4"/>
        <v>745.39278000000002</v>
      </c>
      <c r="F53" s="38">
        <f t="shared" si="1"/>
        <v>1978.3927800000001</v>
      </c>
      <c r="G53" s="38">
        <f t="shared" si="3"/>
        <v>542.0254191780823</v>
      </c>
      <c r="H53" s="36"/>
    </row>
    <row r="54" spans="1:8" ht="15" x14ac:dyDescent="0.25">
      <c r="A54" s="39">
        <f t="shared" si="2"/>
        <v>1704</v>
      </c>
      <c r="B54" s="36">
        <v>1072</v>
      </c>
      <c r="C54" s="36">
        <v>22</v>
      </c>
      <c r="D54" s="38">
        <v>24.625</v>
      </c>
      <c r="E54" s="38">
        <f t="shared" si="4"/>
        <v>541.75</v>
      </c>
      <c r="F54" s="38">
        <f t="shared" si="1"/>
        <v>1613.75</v>
      </c>
      <c r="G54" s="38">
        <f t="shared" si="3"/>
        <v>442.1232876712329</v>
      </c>
      <c r="H54" s="36"/>
    </row>
    <row r="55" spans="1:8" ht="15" x14ac:dyDescent="0.25">
      <c r="A55" s="39">
        <f t="shared" si="2"/>
        <v>1705</v>
      </c>
      <c r="B55" s="36">
        <v>1232</v>
      </c>
      <c r="C55" s="36">
        <v>18</v>
      </c>
      <c r="D55" s="38">
        <v>27.384620000000002</v>
      </c>
      <c r="E55" s="38">
        <f t="shared" si="4"/>
        <v>492.92316000000005</v>
      </c>
      <c r="F55" s="38">
        <f t="shared" si="1"/>
        <v>1724.9231600000001</v>
      </c>
      <c r="G55" s="38">
        <f t="shared" si="3"/>
        <v>472.58168767123283</v>
      </c>
      <c r="H55" s="36"/>
    </row>
    <row r="56" spans="1:8" ht="15" x14ac:dyDescent="0.25">
      <c r="A56" s="39">
        <f t="shared" si="2"/>
        <v>1706</v>
      </c>
      <c r="B56" s="36">
        <v>1216</v>
      </c>
      <c r="C56" s="36">
        <v>30</v>
      </c>
      <c r="D56" s="38">
        <v>29.727270000000001</v>
      </c>
      <c r="E56" s="38">
        <f t="shared" si="4"/>
        <v>891.81810000000007</v>
      </c>
      <c r="F56" s="38">
        <f t="shared" si="1"/>
        <v>2107.8181</v>
      </c>
      <c r="G56" s="38">
        <f t="shared" si="3"/>
        <v>577.48441095890405</v>
      </c>
      <c r="H56" s="36"/>
    </row>
    <row r="57" spans="1:8" ht="15" x14ac:dyDescent="0.25">
      <c r="A57" s="39">
        <f t="shared" si="2"/>
        <v>1707</v>
      </c>
      <c r="B57" s="36">
        <v>1080</v>
      </c>
      <c r="C57" s="36">
        <v>27</v>
      </c>
      <c r="D57" s="38">
        <v>26.33333</v>
      </c>
      <c r="E57" s="38">
        <f t="shared" si="4"/>
        <v>710.99991</v>
      </c>
      <c r="F57" s="38">
        <f t="shared" si="1"/>
        <v>1790.99991</v>
      </c>
      <c r="G57" s="38">
        <f t="shared" si="3"/>
        <v>490.6849068493151</v>
      </c>
      <c r="H57" s="36"/>
    </row>
    <row r="58" spans="1:8" ht="15" x14ac:dyDescent="0.25">
      <c r="A58" s="39">
        <f t="shared" si="2"/>
        <v>1708</v>
      </c>
      <c r="B58" s="36">
        <v>2194</v>
      </c>
      <c r="C58" s="36">
        <v>23</v>
      </c>
      <c r="D58" s="38">
        <v>39.653849999999998</v>
      </c>
      <c r="E58" s="38">
        <f t="shared" si="4"/>
        <v>912.03854999999999</v>
      </c>
      <c r="F58" s="38">
        <f t="shared" si="1"/>
        <v>3106.0385500000002</v>
      </c>
      <c r="G58" s="38">
        <f t="shared" si="3"/>
        <v>850.96946575342474</v>
      </c>
      <c r="H58" s="36"/>
    </row>
    <row r="59" spans="1:8" ht="15" x14ac:dyDescent="0.25">
      <c r="A59" s="39">
        <f t="shared" si="2"/>
        <v>1709</v>
      </c>
      <c r="B59" s="36">
        <v>1666</v>
      </c>
      <c r="C59" s="36">
        <v>12</v>
      </c>
      <c r="D59" s="38">
        <v>38.954549999999998</v>
      </c>
      <c r="E59" s="38">
        <f t="shared" si="4"/>
        <v>467.45459999999997</v>
      </c>
      <c r="F59" s="38">
        <f t="shared" si="1"/>
        <v>2133.4546</v>
      </c>
      <c r="G59" s="38">
        <f t="shared" si="3"/>
        <v>584.50810958904106</v>
      </c>
      <c r="H59" s="36"/>
    </row>
    <row r="60" spans="1:8" ht="15" x14ac:dyDescent="0.25">
      <c r="A60" s="39">
        <f t="shared" si="2"/>
        <v>1710</v>
      </c>
      <c r="B60" s="36">
        <v>2325</v>
      </c>
      <c r="C60" s="36">
        <v>17</v>
      </c>
      <c r="D60" s="38">
        <v>37.771430000000002</v>
      </c>
      <c r="E60" s="38">
        <f t="shared" si="4"/>
        <v>642.11431000000005</v>
      </c>
      <c r="F60" s="38">
        <f t="shared" si="1"/>
        <v>2967.1143099999999</v>
      </c>
      <c r="G60" s="38">
        <f t="shared" si="3"/>
        <v>812.90803013698621</v>
      </c>
      <c r="H60" s="36"/>
    </row>
    <row r="61" spans="1:8" ht="15" x14ac:dyDescent="0.25">
      <c r="A61" s="39">
        <f t="shared" si="2"/>
        <v>1711</v>
      </c>
      <c r="B61" s="36">
        <v>1598</v>
      </c>
      <c r="C61" s="36">
        <v>30</v>
      </c>
      <c r="D61" s="38">
        <v>38.347830000000002</v>
      </c>
      <c r="E61" s="38">
        <f t="shared" si="4"/>
        <v>1150.4349</v>
      </c>
      <c r="F61" s="38">
        <f t="shared" si="1"/>
        <v>2748.4349000000002</v>
      </c>
      <c r="G61" s="38">
        <f t="shared" si="3"/>
        <v>752.99586301369857</v>
      </c>
      <c r="H61" s="36"/>
    </row>
    <row r="62" spans="1:8" ht="15" x14ac:dyDescent="0.25">
      <c r="A62" s="39">
        <f t="shared" si="2"/>
        <v>1712</v>
      </c>
      <c r="B62" s="36">
        <v>1273</v>
      </c>
      <c r="C62" s="36">
        <v>19</v>
      </c>
      <c r="D62" s="38">
        <v>29.090910000000001</v>
      </c>
      <c r="E62" s="38">
        <f t="shared" si="4"/>
        <v>552.72729000000004</v>
      </c>
      <c r="F62" s="38">
        <f t="shared" si="1"/>
        <v>1825.72729</v>
      </c>
      <c r="G62" s="38">
        <f t="shared" si="3"/>
        <v>500.19925753424656</v>
      </c>
      <c r="H62" s="36"/>
    </row>
    <row r="63" spans="1:8" ht="15" x14ac:dyDescent="0.25">
      <c r="A63" s="39">
        <f t="shared" si="2"/>
        <v>1713</v>
      </c>
      <c r="B63" s="36">
        <v>1475</v>
      </c>
      <c r="C63" s="36">
        <v>24</v>
      </c>
      <c r="D63" s="38">
        <v>30.4</v>
      </c>
      <c r="E63" s="38">
        <f t="shared" si="4"/>
        <v>729.59999999999991</v>
      </c>
      <c r="F63" s="38">
        <f t="shared" si="1"/>
        <v>2204.6</v>
      </c>
      <c r="G63" s="38">
        <f t="shared" si="3"/>
        <v>604</v>
      </c>
      <c r="H63" s="36"/>
    </row>
    <row r="64" spans="1:8" ht="15" x14ac:dyDescent="0.25">
      <c r="A64" s="39">
        <f t="shared" si="2"/>
        <v>1714</v>
      </c>
      <c r="B64" s="36">
        <v>1624</v>
      </c>
      <c r="C64" s="36">
        <v>17</v>
      </c>
      <c r="D64" s="38">
        <v>30.956520000000001</v>
      </c>
      <c r="E64" s="38">
        <f t="shared" si="4"/>
        <v>526.26084000000003</v>
      </c>
      <c r="F64" s="38">
        <f t="shared" si="1"/>
        <v>2150.2608399999999</v>
      </c>
      <c r="G64" s="38">
        <f t="shared" si="3"/>
        <v>589.11255890410962</v>
      </c>
      <c r="H64" s="36"/>
    </row>
    <row r="65" spans="1:8" ht="15" x14ac:dyDescent="0.25">
      <c r="A65" s="39">
        <f t="shared" si="2"/>
        <v>1715</v>
      </c>
      <c r="B65" s="36">
        <v>2205</v>
      </c>
      <c r="C65" s="36">
        <v>21</v>
      </c>
      <c r="D65" s="38">
        <v>41.259259999999998</v>
      </c>
      <c r="E65" s="38">
        <f t="shared" si="4"/>
        <v>866.44445999999994</v>
      </c>
      <c r="F65" s="38">
        <f t="shared" si="1"/>
        <v>3071.4444599999997</v>
      </c>
      <c r="G65" s="38">
        <f t="shared" si="3"/>
        <v>841.49163287671229</v>
      </c>
      <c r="H65" s="36"/>
    </row>
    <row r="66" spans="1:8" ht="15" x14ac:dyDescent="0.25">
      <c r="A66" s="39">
        <f t="shared" si="2"/>
        <v>1716</v>
      </c>
      <c r="B66" s="36">
        <v>1830</v>
      </c>
      <c r="C66" s="36">
        <v>11</v>
      </c>
      <c r="D66" s="38">
        <v>26.142859999999999</v>
      </c>
      <c r="E66" s="38">
        <f t="shared" si="4"/>
        <v>287.57146</v>
      </c>
      <c r="F66" s="38">
        <f t="shared" ref="F66:F129" si="5">B66+E66</f>
        <v>2117.5714600000001</v>
      </c>
      <c r="G66" s="38">
        <f t="shared" si="3"/>
        <v>580.15656438356166</v>
      </c>
      <c r="H66" s="36"/>
    </row>
    <row r="67" spans="1:8" ht="15" x14ac:dyDescent="0.25">
      <c r="A67" s="39">
        <f t="shared" ref="A67:A130" si="6">A66+1</f>
        <v>1717</v>
      </c>
      <c r="B67" s="36">
        <v>2311</v>
      </c>
      <c r="C67" s="36">
        <v>23</v>
      </c>
      <c r="D67" s="38">
        <v>37.611109999999996</v>
      </c>
      <c r="E67" s="38">
        <f t="shared" si="4"/>
        <v>865.05552999999986</v>
      </c>
      <c r="F67" s="38">
        <f t="shared" si="5"/>
        <v>3176.0555299999996</v>
      </c>
      <c r="G67" s="38">
        <f t="shared" si="3"/>
        <v>870.15219999999988</v>
      </c>
      <c r="H67" s="36"/>
    </row>
    <row r="68" spans="1:8" ht="15" x14ac:dyDescent="0.25">
      <c r="A68" s="39">
        <f t="shared" si="6"/>
        <v>1718</v>
      </c>
      <c r="B68" s="36">
        <v>2027</v>
      </c>
      <c r="C68" s="36">
        <v>26</v>
      </c>
      <c r="D68" s="38">
        <v>31.27778</v>
      </c>
      <c r="E68" s="38">
        <f t="shared" si="4"/>
        <v>813.22227999999996</v>
      </c>
      <c r="F68" s="38">
        <f t="shared" si="5"/>
        <v>2840.22228</v>
      </c>
      <c r="G68" s="38">
        <f t="shared" ref="G68:G131" si="7">+F68*100/365</f>
        <v>778.14309041095896</v>
      </c>
      <c r="H68" s="36"/>
    </row>
    <row r="69" spans="1:8" ht="15" x14ac:dyDescent="0.25">
      <c r="A69" s="39">
        <f t="shared" si="6"/>
        <v>1719</v>
      </c>
      <c r="B69" s="36">
        <v>2210</v>
      </c>
      <c r="C69" s="36">
        <v>27</v>
      </c>
      <c r="D69" s="38">
        <v>39</v>
      </c>
      <c r="E69" s="38">
        <f t="shared" si="4"/>
        <v>1053</v>
      </c>
      <c r="F69" s="38">
        <f t="shared" si="5"/>
        <v>3263</v>
      </c>
      <c r="G69" s="38">
        <f t="shared" si="7"/>
        <v>893.97260273972597</v>
      </c>
      <c r="H69" s="36"/>
    </row>
    <row r="70" spans="1:8" ht="15" x14ac:dyDescent="0.25">
      <c r="A70" s="39">
        <f t="shared" si="6"/>
        <v>1720</v>
      </c>
      <c r="B70" s="36">
        <v>2697</v>
      </c>
      <c r="C70" s="36">
        <v>20</v>
      </c>
      <c r="D70" s="38">
        <v>36.948720000000002</v>
      </c>
      <c r="E70" s="38">
        <f t="shared" si="4"/>
        <v>738.97440000000006</v>
      </c>
      <c r="F70" s="38">
        <f t="shared" si="5"/>
        <v>3435.9744000000001</v>
      </c>
      <c r="G70" s="38">
        <f t="shared" si="7"/>
        <v>941.3628493150685</v>
      </c>
      <c r="H70" s="36"/>
    </row>
    <row r="71" spans="1:8" ht="15" x14ac:dyDescent="0.25">
      <c r="A71" s="39">
        <f t="shared" si="6"/>
        <v>1721</v>
      </c>
      <c r="B71" s="36">
        <v>2965</v>
      </c>
      <c r="C71" s="36">
        <v>28</v>
      </c>
      <c r="D71" s="38">
        <v>37.799999999999997</v>
      </c>
      <c r="E71" s="38">
        <f t="shared" si="4"/>
        <v>1058.3999999999999</v>
      </c>
      <c r="F71" s="38">
        <f t="shared" si="5"/>
        <v>4023.3999999999996</v>
      </c>
      <c r="G71" s="38">
        <f t="shared" si="7"/>
        <v>1102.3013698630136</v>
      </c>
      <c r="H71" s="36"/>
    </row>
    <row r="72" spans="1:8" ht="15" x14ac:dyDescent="0.25">
      <c r="A72" s="39">
        <f t="shared" si="6"/>
        <v>1722</v>
      </c>
      <c r="B72" s="36">
        <v>2141</v>
      </c>
      <c r="C72" s="36">
        <v>33</v>
      </c>
      <c r="D72" s="38">
        <v>31.93939</v>
      </c>
      <c r="E72" s="38">
        <f t="shared" si="4"/>
        <v>1053.9998699999999</v>
      </c>
      <c r="F72" s="38">
        <f t="shared" si="5"/>
        <v>3194.9998699999996</v>
      </c>
      <c r="G72" s="38">
        <f t="shared" si="7"/>
        <v>875.3424301369862</v>
      </c>
      <c r="H72" s="36"/>
    </row>
    <row r="73" spans="1:8" ht="15" x14ac:dyDescent="0.25">
      <c r="A73" s="39">
        <f t="shared" si="6"/>
        <v>1723</v>
      </c>
      <c r="B73" s="36">
        <v>2377</v>
      </c>
      <c r="C73" s="36">
        <v>20</v>
      </c>
      <c r="D73" s="38">
        <v>29.023260000000001</v>
      </c>
      <c r="E73" s="38">
        <f t="shared" si="4"/>
        <v>580.46519999999998</v>
      </c>
      <c r="F73" s="38">
        <f t="shared" si="5"/>
        <v>2957.4652000000001</v>
      </c>
      <c r="G73" s="38">
        <f t="shared" si="7"/>
        <v>810.26443835616442</v>
      </c>
      <c r="H73" s="36"/>
    </row>
    <row r="74" spans="1:8" ht="15" x14ac:dyDescent="0.25">
      <c r="A74" s="39">
        <f t="shared" si="6"/>
        <v>1724</v>
      </c>
      <c r="B74" s="36">
        <v>2045</v>
      </c>
      <c r="C74" s="36">
        <v>15</v>
      </c>
      <c r="D74" s="38">
        <v>22.789470000000001</v>
      </c>
      <c r="E74" s="38">
        <f t="shared" si="4"/>
        <v>341.84205000000003</v>
      </c>
      <c r="F74" s="38">
        <f t="shared" si="5"/>
        <v>2386.8420500000002</v>
      </c>
      <c r="G74" s="38">
        <f t="shared" si="7"/>
        <v>653.92932876712337</v>
      </c>
      <c r="H74" s="36"/>
    </row>
    <row r="75" spans="1:8" ht="15" x14ac:dyDescent="0.25">
      <c r="A75" s="39">
        <f t="shared" si="6"/>
        <v>1725</v>
      </c>
      <c r="B75" s="36">
        <v>1702</v>
      </c>
      <c r="C75" s="36">
        <v>8</v>
      </c>
      <c r="D75" s="38">
        <v>27.533329999999999</v>
      </c>
      <c r="E75" s="38">
        <f t="shared" si="4"/>
        <v>220.26664</v>
      </c>
      <c r="F75" s="38">
        <f t="shared" si="5"/>
        <v>1922.2666400000001</v>
      </c>
      <c r="G75" s="38">
        <f t="shared" si="7"/>
        <v>526.64839452054798</v>
      </c>
      <c r="H75" s="36"/>
    </row>
    <row r="76" spans="1:8" ht="15" x14ac:dyDescent="0.25">
      <c r="A76" s="39">
        <f t="shared" si="6"/>
        <v>1726</v>
      </c>
      <c r="B76" s="36">
        <v>2304</v>
      </c>
      <c r="C76" s="36">
        <v>15</v>
      </c>
      <c r="D76" s="38">
        <v>22.923079999999999</v>
      </c>
      <c r="E76" s="38">
        <f t="shared" si="4"/>
        <v>343.84619999999995</v>
      </c>
      <c r="F76" s="38">
        <f t="shared" si="5"/>
        <v>2647.8462</v>
      </c>
      <c r="G76" s="38">
        <f t="shared" si="7"/>
        <v>725.43731506849315</v>
      </c>
      <c r="H76" s="36"/>
    </row>
    <row r="77" spans="1:8" ht="15" x14ac:dyDescent="0.25">
      <c r="A77" s="39">
        <f t="shared" si="6"/>
        <v>1727</v>
      </c>
      <c r="B77" s="36">
        <v>2045</v>
      </c>
      <c r="C77" s="36">
        <v>6</v>
      </c>
      <c r="D77" s="38">
        <v>23.63158</v>
      </c>
      <c r="E77" s="38">
        <f t="shared" si="4"/>
        <v>141.78948</v>
      </c>
      <c r="F77" s="38">
        <f t="shared" si="5"/>
        <v>2186.7894799999999</v>
      </c>
      <c r="G77" s="38">
        <f t="shared" si="7"/>
        <v>599.12040547945207</v>
      </c>
      <c r="H77" s="36"/>
    </row>
    <row r="78" spans="1:8" ht="15" x14ac:dyDescent="0.25">
      <c r="A78" s="39">
        <f t="shared" si="6"/>
        <v>1728</v>
      </c>
      <c r="B78" s="36">
        <v>1743</v>
      </c>
      <c r="C78" s="36">
        <v>12</v>
      </c>
      <c r="D78" s="38">
        <v>29.441179999999999</v>
      </c>
      <c r="E78" s="38">
        <f t="shared" si="4"/>
        <v>353.29415999999998</v>
      </c>
      <c r="F78" s="38">
        <f t="shared" si="5"/>
        <v>2096.2941599999999</v>
      </c>
      <c r="G78" s="38">
        <f t="shared" si="7"/>
        <v>574.32716712328761</v>
      </c>
      <c r="H78" s="36"/>
    </row>
    <row r="79" spans="1:8" ht="15" x14ac:dyDescent="0.25">
      <c r="A79" s="39">
        <f t="shared" si="6"/>
        <v>1729</v>
      </c>
      <c r="B79" s="36">
        <v>1726</v>
      </c>
      <c r="C79" s="36">
        <v>8</v>
      </c>
      <c r="D79" s="38">
        <v>24.9697</v>
      </c>
      <c r="E79" s="38">
        <f t="shared" si="4"/>
        <v>199.7576</v>
      </c>
      <c r="F79" s="38">
        <f t="shared" si="5"/>
        <v>1925.7575999999999</v>
      </c>
      <c r="G79" s="38">
        <f t="shared" si="7"/>
        <v>527.60482191780818</v>
      </c>
      <c r="H79" s="36"/>
    </row>
    <row r="80" spans="1:8" ht="15" x14ac:dyDescent="0.25">
      <c r="A80" s="39">
        <f t="shared" si="6"/>
        <v>1730</v>
      </c>
      <c r="B80" s="36">
        <v>1445</v>
      </c>
      <c r="C80" s="36">
        <v>11</v>
      </c>
      <c r="D80" s="38">
        <v>20.9375</v>
      </c>
      <c r="E80" s="38">
        <f t="shared" si="4"/>
        <v>230.3125</v>
      </c>
      <c r="F80" s="38">
        <f t="shared" si="5"/>
        <v>1675.3125</v>
      </c>
      <c r="G80" s="38">
        <f t="shared" si="7"/>
        <v>458.98972602739724</v>
      </c>
      <c r="H80" s="36"/>
    </row>
    <row r="81" spans="1:8" ht="15" x14ac:dyDescent="0.25">
      <c r="A81" s="39">
        <f t="shared" si="6"/>
        <v>1731</v>
      </c>
      <c r="B81" s="36">
        <v>1442</v>
      </c>
      <c r="C81" s="36">
        <v>10</v>
      </c>
      <c r="D81" s="38">
        <v>22.46875</v>
      </c>
      <c r="E81" s="38">
        <f t="shared" si="4"/>
        <v>224.6875</v>
      </c>
      <c r="F81" s="38">
        <f t="shared" si="5"/>
        <v>1666.6875</v>
      </c>
      <c r="G81" s="38">
        <f t="shared" si="7"/>
        <v>456.6267123287671</v>
      </c>
      <c r="H81" s="36"/>
    </row>
    <row r="82" spans="1:8" ht="15" x14ac:dyDescent="0.25">
      <c r="A82" s="39">
        <f t="shared" si="6"/>
        <v>1732</v>
      </c>
      <c r="B82" s="36">
        <v>1915</v>
      </c>
      <c r="C82" s="36">
        <v>16</v>
      </c>
      <c r="D82" s="38">
        <v>26</v>
      </c>
      <c r="E82" s="38">
        <f t="shared" si="4"/>
        <v>416</v>
      </c>
      <c r="F82" s="38">
        <f t="shared" si="5"/>
        <v>2331</v>
      </c>
      <c r="G82" s="38">
        <f t="shared" si="7"/>
        <v>638.63013698630141</v>
      </c>
      <c r="H82" s="36"/>
    </row>
    <row r="83" spans="1:8" ht="15" x14ac:dyDescent="0.25">
      <c r="A83" s="39">
        <f t="shared" si="6"/>
        <v>1733</v>
      </c>
      <c r="B83" s="36">
        <v>1735</v>
      </c>
      <c r="C83" s="36">
        <v>10</v>
      </c>
      <c r="D83" s="38">
        <v>27.529409999999999</v>
      </c>
      <c r="E83" s="38">
        <f t="shared" si="4"/>
        <v>275.29409999999996</v>
      </c>
      <c r="F83" s="38">
        <f t="shared" si="5"/>
        <v>2010.2941000000001</v>
      </c>
      <c r="G83" s="38">
        <f t="shared" si="7"/>
        <v>550.7655068493151</v>
      </c>
      <c r="H83" s="36"/>
    </row>
    <row r="84" spans="1:8" ht="15" x14ac:dyDescent="0.25">
      <c r="A84" s="39">
        <f t="shared" si="6"/>
        <v>1734</v>
      </c>
      <c r="B84" s="36">
        <v>1977</v>
      </c>
      <c r="C84" s="36">
        <v>12</v>
      </c>
      <c r="D84" s="38">
        <v>23.028569999999998</v>
      </c>
      <c r="E84" s="38">
        <f t="shared" si="4"/>
        <v>276.34283999999997</v>
      </c>
      <c r="F84" s="38">
        <f t="shared" si="5"/>
        <v>2253.3428399999998</v>
      </c>
      <c r="G84" s="38">
        <f t="shared" si="7"/>
        <v>617.35420273972602</v>
      </c>
      <c r="H84" s="36"/>
    </row>
    <row r="85" spans="1:8" ht="15" x14ac:dyDescent="0.25">
      <c r="A85" s="39">
        <f t="shared" si="6"/>
        <v>1735</v>
      </c>
      <c r="B85" s="36">
        <v>2311</v>
      </c>
      <c r="C85" s="36">
        <v>10</v>
      </c>
      <c r="D85" s="38">
        <v>24.78378</v>
      </c>
      <c r="E85" s="38">
        <f t="shared" si="4"/>
        <v>247.83780000000002</v>
      </c>
      <c r="F85" s="38">
        <f t="shared" si="5"/>
        <v>2558.8378000000002</v>
      </c>
      <c r="G85" s="38">
        <f t="shared" si="7"/>
        <v>701.05145205479459</v>
      </c>
      <c r="H85" s="36"/>
    </row>
    <row r="86" spans="1:8" ht="15" x14ac:dyDescent="0.25">
      <c r="A86" s="39">
        <f t="shared" si="6"/>
        <v>1736</v>
      </c>
      <c r="B86" s="36">
        <v>2140</v>
      </c>
      <c r="C86" s="36">
        <v>11</v>
      </c>
      <c r="D86" s="38">
        <v>22.61111</v>
      </c>
      <c r="E86" s="38">
        <f t="shared" si="4"/>
        <v>248.72220999999999</v>
      </c>
      <c r="F86" s="38">
        <f t="shared" si="5"/>
        <v>2388.7222099999999</v>
      </c>
      <c r="G86" s="38">
        <f t="shared" si="7"/>
        <v>654.4444410958904</v>
      </c>
      <c r="H86" s="36"/>
    </row>
    <row r="87" spans="1:8" ht="15" x14ac:dyDescent="0.25">
      <c r="A87" s="39">
        <f t="shared" si="6"/>
        <v>1737</v>
      </c>
      <c r="B87" s="36">
        <v>1819</v>
      </c>
      <c r="C87" s="36">
        <v>9</v>
      </c>
      <c r="D87" s="38">
        <v>22.421050000000001</v>
      </c>
      <c r="E87" s="38">
        <f t="shared" si="4"/>
        <v>201.78945000000002</v>
      </c>
      <c r="F87" s="38">
        <f t="shared" si="5"/>
        <v>2020.78945</v>
      </c>
      <c r="G87" s="38">
        <f t="shared" si="7"/>
        <v>553.64094520547951</v>
      </c>
      <c r="H87" s="36"/>
    </row>
    <row r="88" spans="1:8" ht="15" x14ac:dyDescent="0.25">
      <c r="A88" s="39">
        <f t="shared" si="6"/>
        <v>1738</v>
      </c>
      <c r="B88" s="36">
        <v>1867</v>
      </c>
      <c r="C88" s="36">
        <v>12</v>
      </c>
      <c r="D88" s="38">
        <v>25.146339999999999</v>
      </c>
      <c r="E88" s="38">
        <f t="shared" si="4"/>
        <v>301.75608</v>
      </c>
      <c r="F88" s="38">
        <f t="shared" si="5"/>
        <v>2168.7560800000001</v>
      </c>
      <c r="G88" s="38">
        <f t="shared" si="7"/>
        <v>594.17974794520546</v>
      </c>
      <c r="H88" s="36"/>
    </row>
    <row r="89" spans="1:8" ht="15" x14ac:dyDescent="0.25">
      <c r="A89" s="39">
        <f t="shared" si="6"/>
        <v>1739</v>
      </c>
      <c r="B89" s="36">
        <v>1372</v>
      </c>
      <c r="C89" s="36">
        <v>11</v>
      </c>
      <c r="D89" s="38">
        <v>20.22222</v>
      </c>
      <c r="E89" s="38">
        <f t="shared" si="4"/>
        <v>222.44442000000001</v>
      </c>
      <c r="F89" s="38">
        <f t="shared" si="5"/>
        <v>1594.44442</v>
      </c>
      <c r="G89" s="38">
        <f t="shared" si="7"/>
        <v>436.83408767123291</v>
      </c>
      <c r="H89" s="36"/>
    </row>
    <row r="90" spans="1:8" ht="15" x14ac:dyDescent="0.25">
      <c r="A90" s="39">
        <f t="shared" si="6"/>
        <v>1740</v>
      </c>
      <c r="B90" s="36">
        <v>1434</v>
      </c>
      <c r="C90" s="36">
        <v>12</v>
      </c>
      <c r="D90" s="38">
        <v>24</v>
      </c>
      <c r="E90" s="38">
        <f t="shared" si="4"/>
        <v>288</v>
      </c>
      <c r="F90" s="38">
        <f t="shared" si="5"/>
        <v>1722</v>
      </c>
      <c r="G90" s="38">
        <f t="shared" si="7"/>
        <v>471.78082191780823</v>
      </c>
      <c r="H90" s="36"/>
    </row>
    <row r="91" spans="1:8" ht="15" x14ac:dyDescent="0.25">
      <c r="A91" s="39">
        <f t="shared" si="6"/>
        <v>1741</v>
      </c>
      <c r="B91" s="36">
        <v>1631</v>
      </c>
      <c r="C91" s="36">
        <v>13</v>
      </c>
      <c r="D91" s="38">
        <v>27.03125</v>
      </c>
      <c r="E91" s="38">
        <f t="shared" si="4"/>
        <v>351.40625</v>
      </c>
      <c r="F91" s="38">
        <f t="shared" si="5"/>
        <v>1982.40625</v>
      </c>
      <c r="G91" s="38">
        <f t="shared" si="7"/>
        <v>543.125</v>
      </c>
      <c r="H91" s="36"/>
    </row>
    <row r="92" spans="1:8" ht="15" x14ac:dyDescent="0.25">
      <c r="A92" s="39">
        <f t="shared" si="6"/>
        <v>1742</v>
      </c>
      <c r="B92" s="36">
        <v>1273</v>
      </c>
      <c r="C92" s="36">
        <v>20</v>
      </c>
      <c r="D92" s="38">
        <v>25.83333</v>
      </c>
      <c r="E92" s="38">
        <f t="shared" si="4"/>
        <v>516.66660000000002</v>
      </c>
      <c r="F92" s="38">
        <f t="shared" si="5"/>
        <v>1789.6666</v>
      </c>
      <c r="G92" s="38">
        <f t="shared" si="7"/>
        <v>490.31961643835615</v>
      </c>
      <c r="H92" s="36"/>
    </row>
    <row r="93" spans="1:8" ht="15" x14ac:dyDescent="0.25">
      <c r="A93" s="39">
        <f t="shared" si="6"/>
        <v>1743</v>
      </c>
      <c r="B93" s="36">
        <v>1204</v>
      </c>
      <c r="C93" s="36">
        <v>16</v>
      </c>
      <c r="D93" s="38">
        <v>25.695650000000001</v>
      </c>
      <c r="E93" s="38">
        <f t="shared" si="4"/>
        <v>411.13040000000001</v>
      </c>
      <c r="F93" s="38">
        <f t="shared" si="5"/>
        <v>1615.1304</v>
      </c>
      <c r="G93" s="38">
        <f t="shared" si="7"/>
        <v>442.50147945205481</v>
      </c>
      <c r="H93" s="36"/>
    </row>
    <row r="94" spans="1:8" ht="15" x14ac:dyDescent="0.25">
      <c r="A94" s="39">
        <f t="shared" si="6"/>
        <v>1744</v>
      </c>
      <c r="B94" s="36">
        <v>1411</v>
      </c>
      <c r="C94" s="36">
        <v>27</v>
      </c>
      <c r="D94" s="38">
        <v>23.52</v>
      </c>
      <c r="E94" s="38">
        <f t="shared" si="4"/>
        <v>635.04</v>
      </c>
      <c r="F94" s="38">
        <f t="shared" si="5"/>
        <v>2046.04</v>
      </c>
      <c r="G94" s="38">
        <f t="shared" si="7"/>
        <v>560.55890410958909</v>
      </c>
      <c r="H94" s="36"/>
    </row>
    <row r="95" spans="1:8" ht="15" x14ac:dyDescent="0.25">
      <c r="A95" s="39">
        <f t="shared" si="6"/>
        <v>1745</v>
      </c>
      <c r="B95" s="36">
        <v>1526</v>
      </c>
      <c r="C95" s="36">
        <v>18</v>
      </c>
      <c r="D95" s="38">
        <v>23</v>
      </c>
      <c r="E95" s="38">
        <f t="shared" si="4"/>
        <v>414</v>
      </c>
      <c r="F95" s="38">
        <f t="shared" si="5"/>
        <v>1940</v>
      </c>
      <c r="G95" s="38">
        <f t="shared" si="7"/>
        <v>531.50684931506851</v>
      </c>
      <c r="H95" s="36"/>
    </row>
    <row r="96" spans="1:8" ht="15" x14ac:dyDescent="0.25">
      <c r="A96" s="39">
        <f t="shared" si="6"/>
        <v>1746</v>
      </c>
      <c r="B96" s="36">
        <v>1621</v>
      </c>
      <c r="C96" s="36">
        <v>11</v>
      </c>
      <c r="D96" s="38">
        <v>28.342860000000002</v>
      </c>
      <c r="E96" s="38">
        <f t="shared" si="4"/>
        <v>311.77146000000005</v>
      </c>
      <c r="F96" s="38">
        <f t="shared" si="5"/>
        <v>1932.7714599999999</v>
      </c>
      <c r="G96" s="38">
        <f t="shared" si="7"/>
        <v>529.52642739726025</v>
      </c>
      <c r="H96" s="36"/>
    </row>
    <row r="97" spans="1:8" ht="15" x14ac:dyDescent="0.25">
      <c r="A97" s="39">
        <f t="shared" si="6"/>
        <v>1747</v>
      </c>
      <c r="B97" s="36">
        <v>1589</v>
      </c>
      <c r="C97" s="36">
        <v>21</v>
      </c>
      <c r="D97" s="38">
        <v>28.272729999999999</v>
      </c>
      <c r="E97" s="38">
        <f t="shared" si="4"/>
        <v>593.72732999999994</v>
      </c>
      <c r="F97" s="38">
        <f t="shared" si="5"/>
        <v>2182.7273299999997</v>
      </c>
      <c r="G97" s="38">
        <f t="shared" si="7"/>
        <v>598.00748767123287</v>
      </c>
      <c r="H97" s="36"/>
    </row>
    <row r="98" spans="1:8" ht="15" x14ac:dyDescent="0.25">
      <c r="A98" s="39">
        <f t="shared" si="6"/>
        <v>1748</v>
      </c>
      <c r="B98" s="36">
        <v>1796</v>
      </c>
      <c r="C98" s="36">
        <v>35</v>
      </c>
      <c r="D98" s="38">
        <v>34.083329999999997</v>
      </c>
      <c r="E98" s="38">
        <f t="shared" si="4"/>
        <v>1192.9165499999999</v>
      </c>
      <c r="F98" s="38">
        <f t="shared" si="5"/>
        <v>2988.9165499999999</v>
      </c>
      <c r="G98" s="38">
        <f t="shared" si="7"/>
        <v>818.8812465753424</v>
      </c>
      <c r="H98" s="36"/>
    </row>
    <row r="99" spans="1:8" ht="15" x14ac:dyDescent="0.25">
      <c r="A99" s="39">
        <f t="shared" si="6"/>
        <v>1749</v>
      </c>
      <c r="B99" s="36">
        <v>1317</v>
      </c>
      <c r="C99" s="36">
        <v>19</v>
      </c>
      <c r="D99" s="38">
        <v>26.058820000000001</v>
      </c>
      <c r="E99" s="38">
        <f t="shared" si="4"/>
        <v>495.11758000000003</v>
      </c>
      <c r="F99" s="38">
        <f t="shared" si="5"/>
        <v>1812.1175800000001</v>
      </c>
      <c r="G99" s="38">
        <f t="shared" si="7"/>
        <v>496.47056986301368</v>
      </c>
      <c r="H99" s="36"/>
    </row>
    <row r="100" spans="1:8" ht="15" x14ac:dyDescent="0.25">
      <c r="A100" s="39">
        <f t="shared" si="6"/>
        <v>1750</v>
      </c>
      <c r="B100" s="36">
        <v>1438</v>
      </c>
      <c r="C100" s="36">
        <v>21</v>
      </c>
      <c r="D100" s="38">
        <v>22.193549999999998</v>
      </c>
      <c r="E100" s="38">
        <f t="shared" si="4"/>
        <v>466.06454999999994</v>
      </c>
      <c r="F100" s="38">
        <f t="shared" si="5"/>
        <v>1904.0645500000001</v>
      </c>
      <c r="G100" s="38">
        <f t="shared" si="7"/>
        <v>521.6615205479452</v>
      </c>
      <c r="H100" s="36"/>
    </row>
    <row r="101" spans="1:8" ht="15" x14ac:dyDescent="0.25">
      <c r="A101" s="39">
        <f t="shared" si="6"/>
        <v>1751</v>
      </c>
      <c r="B101" s="36">
        <v>1369</v>
      </c>
      <c r="C101" s="36">
        <v>17</v>
      </c>
      <c r="D101" s="38">
        <v>20.677420000000001</v>
      </c>
      <c r="E101" s="38">
        <f t="shared" si="4"/>
        <v>351.51614000000001</v>
      </c>
      <c r="F101" s="38">
        <f t="shared" si="5"/>
        <v>1720.51614</v>
      </c>
      <c r="G101" s="38">
        <f t="shared" si="7"/>
        <v>471.37428493150685</v>
      </c>
      <c r="H101" s="36"/>
    </row>
    <row r="102" spans="1:8" ht="15" x14ac:dyDescent="0.25">
      <c r="A102" s="39">
        <f t="shared" si="6"/>
        <v>1752</v>
      </c>
      <c r="B102" s="36">
        <v>1465</v>
      </c>
      <c r="C102" s="36">
        <v>18</v>
      </c>
      <c r="D102" s="38">
        <v>24.914290000000001</v>
      </c>
      <c r="E102" s="38">
        <f t="shared" si="4"/>
        <v>448.45722000000001</v>
      </c>
      <c r="F102" s="38">
        <f t="shared" si="5"/>
        <v>1913.45722</v>
      </c>
      <c r="G102" s="38">
        <f t="shared" si="7"/>
        <v>524.23485479452052</v>
      </c>
      <c r="H102" s="36"/>
    </row>
    <row r="103" spans="1:8" ht="15" x14ac:dyDescent="0.25">
      <c r="A103" s="39">
        <f t="shared" si="6"/>
        <v>1753</v>
      </c>
      <c r="B103" s="36">
        <v>1581</v>
      </c>
      <c r="C103" s="36">
        <v>21</v>
      </c>
      <c r="D103" s="38">
        <v>33.241379999999999</v>
      </c>
      <c r="E103" s="38">
        <f t="shared" si="4"/>
        <v>698.06898000000001</v>
      </c>
      <c r="F103" s="38">
        <f t="shared" si="5"/>
        <v>2279.06898</v>
      </c>
      <c r="G103" s="38">
        <f t="shared" si="7"/>
        <v>624.40246027397257</v>
      </c>
      <c r="H103" s="36"/>
    </row>
    <row r="104" spans="1:8" ht="15" x14ac:dyDescent="0.25">
      <c r="A104" s="39">
        <f t="shared" si="6"/>
        <v>1754</v>
      </c>
      <c r="B104" s="36">
        <v>1365</v>
      </c>
      <c r="C104" s="36">
        <v>13</v>
      </c>
      <c r="D104" s="38">
        <v>25.727270000000001</v>
      </c>
      <c r="E104" s="38">
        <f t="shared" si="4"/>
        <v>334.45451000000003</v>
      </c>
      <c r="F104" s="38">
        <f t="shared" si="5"/>
        <v>1699.45451</v>
      </c>
      <c r="G104" s="38">
        <f t="shared" si="7"/>
        <v>465.60397534246573</v>
      </c>
      <c r="H104" s="36"/>
    </row>
    <row r="105" spans="1:8" ht="15" x14ac:dyDescent="0.25">
      <c r="A105" s="39">
        <f t="shared" si="6"/>
        <v>1755</v>
      </c>
      <c r="B105" s="36">
        <v>1074</v>
      </c>
      <c r="C105" s="36">
        <v>18</v>
      </c>
      <c r="D105" s="38">
        <v>24.70833</v>
      </c>
      <c r="E105" s="38">
        <f t="shared" si="4"/>
        <v>444.74993999999998</v>
      </c>
      <c r="F105" s="38">
        <f t="shared" si="5"/>
        <v>1518.7499399999999</v>
      </c>
      <c r="G105" s="38">
        <f t="shared" si="7"/>
        <v>416.09587397260276</v>
      </c>
      <c r="H105" s="36"/>
    </row>
    <row r="106" spans="1:8" ht="15" x14ac:dyDescent="0.25">
      <c r="A106" s="39">
        <f t="shared" si="6"/>
        <v>1756</v>
      </c>
      <c r="B106" s="36">
        <v>1513</v>
      </c>
      <c r="C106" s="36">
        <v>9</v>
      </c>
      <c r="D106" s="38">
        <v>31.55556</v>
      </c>
      <c r="E106" s="38">
        <f t="shared" si="4"/>
        <v>284.00004000000001</v>
      </c>
      <c r="F106" s="38">
        <f t="shared" si="5"/>
        <v>1797.0000399999999</v>
      </c>
      <c r="G106" s="38">
        <f t="shared" si="7"/>
        <v>492.32877808219172</v>
      </c>
      <c r="H106" s="36"/>
    </row>
    <row r="107" spans="1:8" ht="15" x14ac:dyDescent="0.25">
      <c r="A107" s="39">
        <f t="shared" si="6"/>
        <v>1757</v>
      </c>
      <c r="B107" s="36">
        <v>1483</v>
      </c>
      <c r="C107" s="36">
        <v>2</v>
      </c>
      <c r="D107" s="38">
        <v>27.678570000000001</v>
      </c>
      <c r="E107" s="38">
        <f t="shared" si="4"/>
        <v>55.357140000000001</v>
      </c>
      <c r="F107" s="38">
        <f t="shared" si="5"/>
        <v>1538.3571400000001</v>
      </c>
      <c r="G107" s="38">
        <f t="shared" si="7"/>
        <v>421.46770958904114</v>
      </c>
      <c r="H107" s="36"/>
    </row>
    <row r="108" spans="1:8" ht="15" x14ac:dyDescent="0.25">
      <c r="A108" s="39">
        <f t="shared" si="6"/>
        <v>1758</v>
      </c>
      <c r="B108" s="36">
        <v>1596</v>
      </c>
      <c r="C108" s="36">
        <v>14</v>
      </c>
      <c r="D108" s="38">
        <v>32.214289999999998</v>
      </c>
      <c r="E108" s="38">
        <f t="shared" si="4"/>
        <v>451.00005999999996</v>
      </c>
      <c r="F108" s="38">
        <f t="shared" si="5"/>
        <v>2047.0000599999998</v>
      </c>
      <c r="G108" s="38">
        <f t="shared" si="7"/>
        <v>560.82193424657532</v>
      </c>
      <c r="H108" s="36"/>
    </row>
    <row r="109" spans="1:8" ht="15" x14ac:dyDescent="0.25">
      <c r="A109" s="39">
        <f t="shared" si="6"/>
        <v>1759</v>
      </c>
      <c r="B109" s="36">
        <v>1631</v>
      </c>
      <c r="C109" s="36">
        <v>16</v>
      </c>
      <c r="D109" s="38">
        <v>26.192309999999999</v>
      </c>
      <c r="E109" s="38">
        <f t="shared" si="4"/>
        <v>419.07695999999999</v>
      </c>
      <c r="F109" s="38">
        <f t="shared" si="5"/>
        <v>2050.0769599999999</v>
      </c>
      <c r="G109" s="38">
        <f t="shared" si="7"/>
        <v>561.66492054794514</v>
      </c>
      <c r="H109" s="36"/>
    </row>
    <row r="110" spans="1:8" ht="15" x14ac:dyDescent="0.25">
      <c r="A110" s="39">
        <f t="shared" si="6"/>
        <v>1760</v>
      </c>
      <c r="B110" s="36">
        <v>1626</v>
      </c>
      <c r="C110" s="36">
        <v>12</v>
      </c>
      <c r="D110" s="38">
        <v>25.8</v>
      </c>
      <c r="E110" s="38">
        <f t="shared" si="4"/>
        <v>309.60000000000002</v>
      </c>
      <c r="F110" s="38">
        <f t="shared" si="5"/>
        <v>1935.6</v>
      </c>
      <c r="G110" s="38">
        <f t="shared" si="7"/>
        <v>530.30136986301375</v>
      </c>
      <c r="H110" s="36"/>
    </row>
    <row r="111" spans="1:8" ht="15" x14ac:dyDescent="0.25">
      <c r="A111" s="39">
        <f t="shared" si="6"/>
        <v>1761</v>
      </c>
      <c r="B111" s="36">
        <v>1262</v>
      </c>
      <c r="C111" s="36">
        <v>18</v>
      </c>
      <c r="D111" s="38">
        <v>21.782609999999998</v>
      </c>
      <c r="E111" s="38">
        <f t="shared" si="4"/>
        <v>392.08697999999998</v>
      </c>
      <c r="F111" s="38">
        <f t="shared" si="5"/>
        <v>1654.08698</v>
      </c>
      <c r="G111" s="38">
        <f t="shared" si="7"/>
        <v>453.17451506849318</v>
      </c>
      <c r="H111" s="36"/>
    </row>
    <row r="112" spans="1:8" ht="15" x14ac:dyDescent="0.25">
      <c r="A112" s="39">
        <f t="shared" si="6"/>
        <v>1762</v>
      </c>
      <c r="B112" s="36">
        <v>1367</v>
      </c>
      <c r="C112" s="36">
        <v>14</v>
      </c>
      <c r="D112" s="38">
        <v>23.48</v>
      </c>
      <c r="E112" s="38">
        <f t="shared" si="4"/>
        <v>328.72</v>
      </c>
      <c r="F112" s="38">
        <f t="shared" si="5"/>
        <v>1695.72</v>
      </c>
      <c r="G112" s="38">
        <f t="shared" si="7"/>
        <v>464.58082191780824</v>
      </c>
      <c r="H112" s="36"/>
    </row>
    <row r="113" spans="1:8" ht="15" x14ac:dyDescent="0.25">
      <c r="A113" s="39">
        <f t="shared" si="6"/>
        <v>1763</v>
      </c>
      <c r="B113" s="36">
        <v>1167</v>
      </c>
      <c r="C113" s="36">
        <v>23</v>
      </c>
      <c r="D113" s="38">
        <v>27.6875</v>
      </c>
      <c r="E113" s="38">
        <f t="shared" si="4"/>
        <v>636.8125</v>
      </c>
      <c r="F113" s="38">
        <f t="shared" si="5"/>
        <v>1803.8125</v>
      </c>
      <c r="G113" s="38">
        <f t="shared" si="7"/>
        <v>494.19520547945206</v>
      </c>
      <c r="H113" s="36"/>
    </row>
    <row r="114" spans="1:8" ht="15" x14ac:dyDescent="0.25">
      <c r="A114" s="39">
        <f t="shared" si="6"/>
        <v>1764</v>
      </c>
      <c r="B114" s="36">
        <v>1463</v>
      </c>
      <c r="C114" s="36">
        <v>28</v>
      </c>
      <c r="D114" s="38">
        <v>32.74194</v>
      </c>
      <c r="E114" s="38">
        <f t="shared" si="4"/>
        <v>916.77431999999999</v>
      </c>
      <c r="F114" s="38">
        <f t="shared" si="5"/>
        <v>2379.77432</v>
      </c>
      <c r="G114" s="38">
        <f t="shared" si="7"/>
        <v>651.99296438356168</v>
      </c>
      <c r="H114" s="36"/>
    </row>
    <row r="115" spans="1:8" ht="15" x14ac:dyDescent="0.25">
      <c r="A115" s="39">
        <f t="shared" si="6"/>
        <v>1765</v>
      </c>
      <c r="B115" s="36">
        <v>1219</v>
      </c>
      <c r="C115" s="36">
        <v>10</v>
      </c>
      <c r="D115" s="38">
        <v>25.461539999999999</v>
      </c>
      <c r="E115" s="38">
        <f t="shared" ref="E115:E145" si="8">C115*D115</f>
        <v>254.61539999999999</v>
      </c>
      <c r="F115" s="38">
        <f t="shared" si="5"/>
        <v>1473.6153999999999</v>
      </c>
      <c r="G115" s="38">
        <f t="shared" si="7"/>
        <v>403.73024657534239</v>
      </c>
      <c r="H115" s="36"/>
    </row>
    <row r="116" spans="1:8" ht="15" x14ac:dyDescent="0.25">
      <c r="A116" s="39">
        <f t="shared" si="6"/>
        <v>1766</v>
      </c>
      <c r="B116" s="36">
        <v>1328</v>
      </c>
      <c r="C116" s="36">
        <v>14</v>
      </c>
      <c r="D116" s="38">
        <v>23.65625</v>
      </c>
      <c r="E116" s="38">
        <f t="shared" si="8"/>
        <v>331.1875</v>
      </c>
      <c r="F116" s="38">
        <f t="shared" si="5"/>
        <v>1659.1875</v>
      </c>
      <c r="G116" s="38">
        <f t="shared" si="7"/>
        <v>454.57191780821915</v>
      </c>
      <c r="H116" s="36"/>
    </row>
    <row r="117" spans="1:8" ht="15" x14ac:dyDescent="0.25">
      <c r="A117" s="39">
        <f t="shared" si="6"/>
        <v>1767</v>
      </c>
      <c r="B117" s="36">
        <v>1111</v>
      </c>
      <c r="C117" s="36">
        <v>25</v>
      </c>
      <c r="D117" s="38">
        <v>27.121210000000001</v>
      </c>
      <c r="E117" s="38">
        <f t="shared" si="8"/>
        <v>678.03025000000002</v>
      </c>
      <c r="F117" s="38">
        <f t="shared" si="5"/>
        <v>1789.03025</v>
      </c>
      <c r="G117" s="38">
        <f t="shared" si="7"/>
        <v>490.14527397260275</v>
      </c>
      <c r="H117" s="36"/>
    </row>
    <row r="118" spans="1:8" ht="15" x14ac:dyDescent="0.25">
      <c r="A118" s="39">
        <f t="shared" si="6"/>
        <v>1768</v>
      </c>
      <c r="B118" s="36">
        <v>1180</v>
      </c>
      <c r="C118" s="36">
        <v>26</v>
      </c>
      <c r="D118" s="38">
        <v>24.28</v>
      </c>
      <c r="E118" s="38">
        <f t="shared" si="8"/>
        <v>631.28</v>
      </c>
      <c r="F118" s="38">
        <f t="shared" si="5"/>
        <v>1811.28</v>
      </c>
      <c r="G118" s="38">
        <f t="shared" si="7"/>
        <v>496.24109589041097</v>
      </c>
      <c r="H118" s="36"/>
    </row>
    <row r="119" spans="1:8" ht="15" x14ac:dyDescent="0.25">
      <c r="A119" s="39">
        <f t="shared" si="6"/>
        <v>1769</v>
      </c>
      <c r="B119" s="36">
        <v>1432</v>
      </c>
      <c r="C119" s="36">
        <v>35</v>
      </c>
      <c r="D119" s="38">
        <v>25</v>
      </c>
      <c r="E119" s="38">
        <f t="shared" si="8"/>
        <v>875</v>
      </c>
      <c r="F119" s="38">
        <f t="shared" si="5"/>
        <v>2307</v>
      </c>
      <c r="G119" s="38">
        <f t="shared" si="7"/>
        <v>632.05479452054794</v>
      </c>
      <c r="H119" s="36"/>
    </row>
    <row r="120" spans="1:8" ht="15" x14ac:dyDescent="0.25">
      <c r="A120" s="39">
        <f t="shared" si="6"/>
        <v>1770</v>
      </c>
      <c r="B120" s="36">
        <v>1243</v>
      </c>
      <c r="C120" s="36">
        <v>26</v>
      </c>
      <c r="D120" s="38">
        <v>24.357140000000001</v>
      </c>
      <c r="E120" s="38">
        <f t="shared" si="8"/>
        <v>633.28564000000006</v>
      </c>
      <c r="F120" s="38">
        <f t="shared" si="5"/>
        <v>1876.2856400000001</v>
      </c>
      <c r="G120" s="38">
        <f t="shared" si="7"/>
        <v>514.0508602739726</v>
      </c>
      <c r="H120" s="36"/>
    </row>
    <row r="121" spans="1:8" ht="15" x14ac:dyDescent="0.25">
      <c r="A121" s="39">
        <f t="shared" si="6"/>
        <v>1771</v>
      </c>
      <c r="B121" s="36">
        <v>1672</v>
      </c>
      <c r="C121" s="36">
        <v>46</v>
      </c>
      <c r="D121" s="38">
        <v>40.185189999999999</v>
      </c>
      <c r="E121" s="38">
        <f t="shared" si="8"/>
        <v>1848.51874</v>
      </c>
      <c r="F121" s="38">
        <f t="shared" si="5"/>
        <v>3520.51874</v>
      </c>
      <c r="G121" s="38">
        <f t="shared" si="7"/>
        <v>964.5256821917809</v>
      </c>
      <c r="H121" s="36"/>
    </row>
    <row r="122" spans="1:8" ht="15" x14ac:dyDescent="0.25">
      <c r="A122" s="39">
        <f t="shared" si="6"/>
        <v>1772</v>
      </c>
      <c r="B122" s="36">
        <v>1922</v>
      </c>
      <c r="C122" s="36">
        <v>60</v>
      </c>
      <c r="D122" s="38">
        <v>34.333329999999997</v>
      </c>
      <c r="E122" s="38">
        <f t="shared" si="8"/>
        <v>2059.9997999999996</v>
      </c>
      <c r="F122" s="38">
        <f t="shared" si="5"/>
        <v>3981.9997999999996</v>
      </c>
      <c r="G122" s="38">
        <f t="shared" si="7"/>
        <v>1090.9588493150684</v>
      </c>
      <c r="H122" s="36"/>
    </row>
    <row r="123" spans="1:8" ht="15" x14ac:dyDescent="0.25">
      <c r="A123" s="39">
        <f t="shared" si="6"/>
        <v>1773</v>
      </c>
      <c r="B123" s="36">
        <v>1615</v>
      </c>
      <c r="C123" s="36">
        <v>59</v>
      </c>
      <c r="D123" s="38">
        <v>33.166670000000003</v>
      </c>
      <c r="E123" s="38">
        <f t="shared" si="8"/>
        <v>1956.8335300000001</v>
      </c>
      <c r="F123" s="38">
        <f t="shared" si="5"/>
        <v>3571.8335299999999</v>
      </c>
      <c r="G123" s="38">
        <f t="shared" si="7"/>
        <v>978.58452876712329</v>
      </c>
      <c r="H123" s="36"/>
    </row>
    <row r="124" spans="1:8" ht="15" x14ac:dyDescent="0.25">
      <c r="A124" s="39">
        <f t="shared" si="6"/>
        <v>1774</v>
      </c>
      <c r="B124" s="36">
        <v>1399</v>
      </c>
      <c r="C124" s="36">
        <v>73</v>
      </c>
      <c r="D124" s="38">
        <v>27.971430000000002</v>
      </c>
      <c r="E124" s="38">
        <f t="shared" si="8"/>
        <v>2041.9143900000001</v>
      </c>
      <c r="F124" s="38">
        <f t="shared" si="5"/>
        <v>3440.9143899999999</v>
      </c>
      <c r="G124" s="38">
        <f t="shared" si="7"/>
        <v>942.71627123287669</v>
      </c>
      <c r="H124" s="36"/>
    </row>
    <row r="125" spans="1:8" ht="15" x14ac:dyDescent="0.25">
      <c r="A125" s="39">
        <f t="shared" si="6"/>
        <v>1775</v>
      </c>
      <c r="B125" s="36">
        <v>1352</v>
      </c>
      <c r="C125" s="36">
        <v>64</v>
      </c>
      <c r="D125" s="38">
        <v>29.185189999999999</v>
      </c>
      <c r="E125" s="38">
        <f t="shared" si="8"/>
        <v>1867.8521599999999</v>
      </c>
      <c r="F125" s="38">
        <f t="shared" si="5"/>
        <v>3219.8521599999999</v>
      </c>
      <c r="G125" s="38">
        <f t="shared" si="7"/>
        <v>882.15127671232881</v>
      </c>
      <c r="H125" s="36"/>
    </row>
    <row r="126" spans="1:8" ht="15" x14ac:dyDescent="0.25">
      <c r="A126" s="39">
        <f t="shared" si="6"/>
        <v>1776</v>
      </c>
      <c r="B126" s="36">
        <v>1595</v>
      </c>
      <c r="C126" s="36">
        <v>65</v>
      </c>
      <c r="D126" s="38">
        <v>26.727270000000001</v>
      </c>
      <c r="E126" s="38">
        <f t="shared" si="8"/>
        <v>1737.2725500000001</v>
      </c>
      <c r="F126" s="38">
        <f t="shared" si="5"/>
        <v>3332.2725500000001</v>
      </c>
      <c r="G126" s="38">
        <f t="shared" si="7"/>
        <v>912.95138356164387</v>
      </c>
      <c r="H126" s="36"/>
    </row>
    <row r="127" spans="1:8" ht="15" x14ac:dyDescent="0.25">
      <c r="A127" s="39">
        <f t="shared" si="6"/>
        <v>1777</v>
      </c>
      <c r="B127" s="36">
        <v>1231</v>
      </c>
      <c r="C127" s="36">
        <v>67</v>
      </c>
      <c r="D127" s="38">
        <v>22.16667</v>
      </c>
      <c r="E127" s="38">
        <f t="shared" si="8"/>
        <v>1485.16689</v>
      </c>
      <c r="F127" s="38">
        <f t="shared" si="5"/>
        <v>2716.16689</v>
      </c>
      <c r="G127" s="38">
        <f t="shared" si="7"/>
        <v>744.1553123287672</v>
      </c>
      <c r="H127" s="36"/>
    </row>
    <row r="128" spans="1:8" ht="15" x14ac:dyDescent="0.25">
      <c r="A128" s="39">
        <f t="shared" si="6"/>
        <v>1778</v>
      </c>
      <c r="B128" s="36">
        <v>1258</v>
      </c>
      <c r="C128" s="36">
        <v>66</v>
      </c>
      <c r="D128" s="38">
        <v>25.66667</v>
      </c>
      <c r="E128" s="38">
        <f t="shared" si="8"/>
        <v>1694.0002199999999</v>
      </c>
      <c r="F128" s="38">
        <f t="shared" si="5"/>
        <v>2952.0002199999999</v>
      </c>
      <c r="G128" s="38">
        <f t="shared" si="7"/>
        <v>808.76718356164383</v>
      </c>
      <c r="H128" s="36"/>
    </row>
    <row r="129" spans="1:8" ht="15" x14ac:dyDescent="0.25">
      <c r="A129" s="39">
        <f t="shared" si="6"/>
        <v>1779</v>
      </c>
      <c r="B129" s="36">
        <v>1505</v>
      </c>
      <c r="C129" s="36">
        <v>65</v>
      </c>
      <c r="D129" s="38">
        <v>29.11111</v>
      </c>
      <c r="E129" s="38">
        <f t="shared" si="8"/>
        <v>1892.2221500000001</v>
      </c>
      <c r="F129" s="38">
        <f t="shared" si="5"/>
        <v>3397.2221500000001</v>
      </c>
      <c r="G129" s="38">
        <f t="shared" si="7"/>
        <v>930.74579452054797</v>
      </c>
      <c r="H129" s="36"/>
    </row>
    <row r="130" spans="1:8" ht="15" x14ac:dyDescent="0.25">
      <c r="A130" s="39">
        <f t="shared" si="6"/>
        <v>1780</v>
      </c>
      <c r="B130" s="36">
        <v>1352</v>
      </c>
      <c r="C130" s="36">
        <v>64</v>
      </c>
      <c r="D130" s="38">
        <v>28.56</v>
      </c>
      <c r="E130" s="38">
        <f t="shared" si="8"/>
        <v>1827.84</v>
      </c>
      <c r="F130" s="38">
        <f t="shared" ref="F130:F145" si="9">B130+E130</f>
        <v>3179.84</v>
      </c>
      <c r="G130" s="38">
        <f t="shared" si="7"/>
        <v>871.18904109589039</v>
      </c>
      <c r="H130" s="36"/>
    </row>
    <row r="131" spans="1:8" ht="15" x14ac:dyDescent="0.25">
      <c r="A131" s="39">
        <f t="shared" ref="A131:A145" si="10">A130+1</f>
        <v>1781</v>
      </c>
      <c r="B131" s="36">
        <v>810</v>
      </c>
      <c r="C131" s="36">
        <v>59</v>
      </c>
      <c r="D131" s="38">
        <v>35.571429999999999</v>
      </c>
      <c r="E131" s="38">
        <f t="shared" si="8"/>
        <v>2098.7143700000001</v>
      </c>
      <c r="F131" s="38">
        <f t="shared" si="9"/>
        <v>2908.7143700000001</v>
      </c>
      <c r="G131" s="38">
        <f t="shared" si="7"/>
        <v>796.90804657534261</v>
      </c>
      <c r="H131" s="36"/>
    </row>
    <row r="132" spans="1:8" ht="15" x14ac:dyDescent="0.25">
      <c r="A132" s="39">
        <f t="shared" si="10"/>
        <v>1782</v>
      </c>
      <c r="B132" s="36">
        <v>269</v>
      </c>
      <c r="C132" s="36">
        <v>93</v>
      </c>
      <c r="D132" s="38">
        <v>36.700000000000003</v>
      </c>
      <c r="E132" s="38">
        <f t="shared" si="8"/>
        <v>3413.1000000000004</v>
      </c>
      <c r="F132" s="38">
        <f t="shared" si="9"/>
        <v>3682.1000000000004</v>
      </c>
      <c r="G132" s="38">
        <f t="shared" ref="G132:G145" si="11">+F132*100/365</f>
        <v>1008.7945205479454</v>
      </c>
      <c r="H132" s="36"/>
    </row>
    <row r="133" spans="1:8" ht="15" x14ac:dyDescent="0.25">
      <c r="A133" s="39">
        <f t="shared" si="10"/>
        <v>1783</v>
      </c>
      <c r="B133" s="36">
        <v>1398</v>
      </c>
      <c r="C133" s="36">
        <v>151</v>
      </c>
      <c r="D133" s="38">
        <v>37.888890000000004</v>
      </c>
      <c r="E133" s="38">
        <f t="shared" si="8"/>
        <v>5721.2223900000008</v>
      </c>
      <c r="F133" s="38">
        <f t="shared" si="9"/>
        <v>7119.2223900000008</v>
      </c>
      <c r="G133" s="38">
        <f t="shared" si="11"/>
        <v>1950.4718876712329</v>
      </c>
      <c r="H133" s="36"/>
    </row>
    <row r="134" spans="1:8" ht="15" x14ac:dyDescent="0.25">
      <c r="A134" s="39">
        <f t="shared" si="10"/>
        <v>1784</v>
      </c>
      <c r="B134" s="36">
        <v>1880</v>
      </c>
      <c r="C134" s="36">
        <v>122</v>
      </c>
      <c r="D134" s="38">
        <v>37.909089999999999</v>
      </c>
      <c r="E134" s="38">
        <f t="shared" si="8"/>
        <v>4624.9089800000002</v>
      </c>
      <c r="F134" s="38">
        <f t="shared" si="9"/>
        <v>6504.9089800000002</v>
      </c>
      <c r="G134" s="38">
        <f t="shared" si="11"/>
        <v>1782.1668438356166</v>
      </c>
      <c r="H134" s="36"/>
    </row>
    <row r="135" spans="1:8" ht="15" x14ac:dyDescent="0.25">
      <c r="A135" s="39">
        <f t="shared" si="10"/>
        <v>1785</v>
      </c>
      <c r="B135" s="36">
        <v>2583</v>
      </c>
      <c r="C135" s="36">
        <v>117</v>
      </c>
      <c r="D135" s="38">
        <v>44.689660000000003</v>
      </c>
      <c r="E135" s="38">
        <f t="shared" si="8"/>
        <v>5228.6902200000004</v>
      </c>
      <c r="F135" s="38">
        <f t="shared" si="9"/>
        <v>7811.6902200000004</v>
      </c>
      <c r="G135" s="38">
        <f t="shared" si="11"/>
        <v>2140.1891013698628</v>
      </c>
      <c r="H135" s="36"/>
    </row>
    <row r="136" spans="1:8" ht="15" x14ac:dyDescent="0.25">
      <c r="A136" s="39">
        <f t="shared" si="10"/>
        <v>1786</v>
      </c>
      <c r="B136" s="36">
        <v>1796</v>
      </c>
      <c r="C136" s="36">
        <v>74</v>
      </c>
      <c r="D136" s="38">
        <v>31.74286</v>
      </c>
      <c r="E136" s="38">
        <f t="shared" si="8"/>
        <v>2348.9716400000002</v>
      </c>
      <c r="F136" s="38">
        <f t="shared" si="9"/>
        <v>4144.9716399999998</v>
      </c>
      <c r="G136" s="38">
        <f t="shared" si="11"/>
        <v>1135.6086684931506</v>
      </c>
      <c r="H136" s="36"/>
    </row>
    <row r="137" spans="1:8" ht="15" x14ac:dyDescent="0.25">
      <c r="A137" s="39">
        <f t="shared" si="10"/>
        <v>1787</v>
      </c>
      <c r="B137" s="36">
        <v>2070</v>
      </c>
      <c r="C137" s="36">
        <v>90</v>
      </c>
      <c r="D137" s="38">
        <v>38.35</v>
      </c>
      <c r="E137" s="38">
        <f t="shared" si="8"/>
        <v>3451.5</v>
      </c>
      <c r="F137" s="38">
        <f t="shared" si="9"/>
        <v>5521.5</v>
      </c>
      <c r="G137" s="38">
        <f t="shared" si="11"/>
        <v>1512.7397260273972</v>
      </c>
      <c r="H137" s="36"/>
    </row>
    <row r="138" spans="1:8" ht="15" x14ac:dyDescent="0.25">
      <c r="A138" s="39">
        <f t="shared" si="10"/>
        <v>1788</v>
      </c>
      <c r="B138" s="36">
        <v>1896</v>
      </c>
      <c r="C138" s="36">
        <v>106</v>
      </c>
      <c r="D138" s="38">
        <v>33.514290000000003</v>
      </c>
      <c r="E138" s="38">
        <f t="shared" si="8"/>
        <v>3552.5147400000001</v>
      </c>
      <c r="F138" s="38">
        <f t="shared" si="9"/>
        <v>5448.5147400000005</v>
      </c>
      <c r="G138" s="38">
        <f t="shared" si="11"/>
        <v>1492.7437643835617</v>
      </c>
      <c r="H138" s="36"/>
    </row>
    <row r="139" spans="1:8" ht="15" x14ac:dyDescent="0.25">
      <c r="A139" s="39">
        <f t="shared" si="10"/>
        <v>1789</v>
      </c>
      <c r="B139" s="36">
        <v>2033</v>
      </c>
      <c r="C139" s="36">
        <v>113</v>
      </c>
      <c r="D139" s="38">
        <v>29.575759999999999</v>
      </c>
      <c r="E139" s="38">
        <f t="shared" si="8"/>
        <v>3342.06088</v>
      </c>
      <c r="F139" s="38">
        <f t="shared" si="9"/>
        <v>5375.06088</v>
      </c>
      <c r="G139" s="38">
        <f t="shared" si="11"/>
        <v>1472.6194191780821</v>
      </c>
      <c r="H139" s="36"/>
    </row>
    <row r="140" spans="1:8" ht="15" x14ac:dyDescent="0.25">
      <c r="A140" s="39">
        <f t="shared" si="10"/>
        <v>1790</v>
      </c>
      <c r="B140" s="36">
        <v>1137</v>
      </c>
      <c r="C140" s="36">
        <v>101</v>
      </c>
      <c r="D140" s="38">
        <v>22.478259999999999</v>
      </c>
      <c r="E140" s="38">
        <f t="shared" si="8"/>
        <v>2270.3042599999999</v>
      </c>
      <c r="F140" s="38">
        <f t="shared" si="9"/>
        <v>3407.3042599999999</v>
      </c>
      <c r="G140" s="38">
        <f t="shared" si="11"/>
        <v>933.50801643835609</v>
      </c>
      <c r="H140" s="36"/>
    </row>
    <row r="141" spans="1:8" ht="15" x14ac:dyDescent="0.25">
      <c r="A141" s="39">
        <f t="shared" si="10"/>
        <v>1791</v>
      </c>
      <c r="B141" s="36">
        <v>1887</v>
      </c>
      <c r="C141" s="36">
        <v>119</v>
      </c>
      <c r="D141" s="38">
        <v>32.185189999999999</v>
      </c>
      <c r="E141" s="38">
        <f t="shared" si="8"/>
        <v>3830.0376099999999</v>
      </c>
      <c r="F141" s="38">
        <f t="shared" si="9"/>
        <v>5717.0376099999994</v>
      </c>
      <c r="G141" s="38">
        <f t="shared" si="11"/>
        <v>1566.3116739726026</v>
      </c>
      <c r="H141" s="36"/>
    </row>
    <row r="142" spans="1:8" ht="15" x14ac:dyDescent="0.25">
      <c r="A142" s="39">
        <f t="shared" si="10"/>
        <v>1792</v>
      </c>
      <c r="B142" s="36">
        <v>1273</v>
      </c>
      <c r="C142" s="36">
        <v>94</v>
      </c>
      <c r="D142" s="38">
        <v>37.55556</v>
      </c>
      <c r="E142" s="38">
        <f t="shared" si="8"/>
        <v>3530.22264</v>
      </c>
      <c r="F142" s="38">
        <f t="shared" si="9"/>
        <v>4803.22264</v>
      </c>
      <c r="G142" s="38">
        <f t="shared" si="11"/>
        <v>1315.9514082191779</v>
      </c>
      <c r="H142" s="36"/>
    </row>
    <row r="143" spans="1:8" ht="15" x14ac:dyDescent="0.25">
      <c r="A143" s="39">
        <f t="shared" si="10"/>
        <v>1793</v>
      </c>
      <c r="B143" s="36">
        <v>1294</v>
      </c>
      <c r="C143" s="36">
        <v>75</v>
      </c>
      <c r="D143" s="38">
        <v>22.789470000000001</v>
      </c>
      <c r="E143" s="38">
        <f t="shared" si="8"/>
        <v>1709.2102500000001</v>
      </c>
      <c r="F143" s="38">
        <f t="shared" si="9"/>
        <v>3003.2102500000001</v>
      </c>
      <c r="G143" s="38">
        <f t="shared" si="11"/>
        <v>822.7973287671233</v>
      </c>
      <c r="H143" s="36"/>
    </row>
    <row r="144" spans="1:8" ht="15" x14ac:dyDescent="0.25">
      <c r="A144" s="39">
        <f t="shared" si="10"/>
        <v>1794</v>
      </c>
      <c r="B144" s="36">
        <v>449</v>
      </c>
      <c r="C144" s="36"/>
      <c r="D144" s="38">
        <v>28.058820000000001</v>
      </c>
      <c r="E144" s="38">
        <f t="shared" si="8"/>
        <v>0</v>
      </c>
      <c r="F144" s="38">
        <f t="shared" si="9"/>
        <v>449</v>
      </c>
      <c r="G144" s="38">
        <f t="shared" si="11"/>
        <v>123.01369863013699</v>
      </c>
      <c r="H144" s="36"/>
    </row>
    <row r="145" spans="1:8" ht="15" x14ac:dyDescent="0.25">
      <c r="A145" s="39">
        <f t="shared" si="10"/>
        <v>1795</v>
      </c>
      <c r="B145" s="36">
        <v>216</v>
      </c>
      <c r="C145" s="36"/>
      <c r="D145" s="38">
        <v>26</v>
      </c>
      <c r="E145" s="38">
        <f t="shared" si="8"/>
        <v>0</v>
      </c>
      <c r="F145" s="38">
        <f t="shared" si="9"/>
        <v>216</v>
      </c>
      <c r="G145" s="38">
        <f t="shared" si="11"/>
        <v>59.178082191780824</v>
      </c>
      <c r="H145" s="36"/>
    </row>
    <row r="146" spans="1:8" ht="15" x14ac:dyDescent="0.25">
      <c r="A146" s="39"/>
      <c r="B146" s="36"/>
      <c r="C146" s="36"/>
      <c r="D146" s="36"/>
      <c r="E146" s="36"/>
      <c r="F146" s="36"/>
      <c r="G146" s="38"/>
      <c r="H146" s="36"/>
    </row>
  </sheetData>
  <pageMargins left="0.7" right="0.7" top="0.75" bottom="0.75" header="0.3" footer="0.3"/>
  <legacy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4"/>
  <sheetViews>
    <sheetView workbookViewId="0">
      <selection activeCell="B21" sqref="B21"/>
    </sheetView>
  </sheetViews>
  <sheetFormatPr defaultRowHeight="12.75" x14ac:dyDescent="0.2"/>
  <cols>
    <col min="3" max="3" width="9.5703125" bestFit="1" customWidth="1"/>
    <col min="4" max="4" width="9.5703125" customWidth="1"/>
    <col min="7" max="7" width="10.5703125" bestFit="1" customWidth="1"/>
    <col min="8" max="8" width="9.5703125" bestFit="1" customWidth="1"/>
    <col min="9" max="9" width="10.5703125" bestFit="1" customWidth="1"/>
    <col min="13" max="14" width="10.5703125" bestFit="1" customWidth="1"/>
    <col min="15" max="15" width="9.28515625" bestFit="1" customWidth="1"/>
    <col min="17" max="17" width="11.5703125" bestFit="1" customWidth="1"/>
    <col min="18" max="18" width="11.140625" bestFit="1" customWidth="1"/>
    <col min="20" max="20" width="9.28515625" bestFit="1" customWidth="1"/>
  </cols>
  <sheetData>
    <row r="1" spans="1:31" x14ac:dyDescent="0.2">
      <c r="A1" s="27" t="s">
        <v>360</v>
      </c>
      <c r="H1" t="s">
        <v>276</v>
      </c>
      <c r="I1" t="s">
        <v>278</v>
      </c>
      <c r="M1" t="s">
        <v>282</v>
      </c>
      <c r="O1" t="s">
        <v>284</v>
      </c>
      <c r="Q1" t="s">
        <v>286</v>
      </c>
      <c r="U1" t="s">
        <v>287</v>
      </c>
      <c r="AC1" t="s">
        <v>312</v>
      </c>
    </row>
    <row r="2" spans="1:31" x14ac:dyDescent="0.2">
      <c r="B2" t="s">
        <v>274</v>
      </c>
      <c r="C2" s="27" t="s">
        <v>361</v>
      </c>
      <c r="D2" s="27" t="s">
        <v>359</v>
      </c>
      <c r="E2" s="27" t="s">
        <v>362</v>
      </c>
      <c r="G2" t="s">
        <v>275</v>
      </c>
      <c r="H2" t="s">
        <v>277</v>
      </c>
      <c r="K2" t="s">
        <v>279</v>
      </c>
      <c r="L2" t="s">
        <v>280</v>
      </c>
      <c r="M2" t="s">
        <v>283</v>
      </c>
      <c r="N2" t="s">
        <v>285</v>
      </c>
      <c r="O2" t="s">
        <v>281</v>
      </c>
      <c r="R2" s="27" t="s">
        <v>363</v>
      </c>
      <c r="T2" t="s">
        <v>291</v>
      </c>
      <c r="V2" t="s">
        <v>309</v>
      </c>
      <c r="W2" t="s">
        <v>160</v>
      </c>
      <c r="X2" t="s">
        <v>161</v>
      </c>
      <c r="Y2" t="s">
        <v>159</v>
      </c>
      <c r="Z2" t="s">
        <v>310</v>
      </c>
      <c r="AA2" t="s">
        <v>51</v>
      </c>
      <c r="AB2" t="s">
        <v>311</v>
      </c>
      <c r="AD2" t="s">
        <v>313</v>
      </c>
    </row>
    <row r="3" spans="1:31" ht="15" x14ac:dyDescent="0.25">
      <c r="A3">
        <v>1701</v>
      </c>
      <c r="B3" s="24">
        <f>+Population!AN4</f>
        <v>0.14994648041347169</v>
      </c>
      <c r="C3" s="25">
        <f>+Population!X4*Population!Z4*resteconomy!B3</f>
        <v>442.89930194294527</v>
      </c>
      <c r="D3" s="25">
        <v>80</v>
      </c>
      <c r="E3" s="25">
        <f>+((C3*0.46*1*200)/2)+(F3*1500)+D3*100</f>
        <v>80873.367889375484</v>
      </c>
      <c r="F3" s="50">
        <v>35</v>
      </c>
      <c r="G3" s="25">
        <f>+H3+I3</f>
        <v>22999.546851796782</v>
      </c>
      <c r="H3" s="25">
        <f>+('Livestock in possession'!R3+'Livestock in possession'!T3/2)*'Agricultural production'!Z4*0.1</f>
        <v>8699.7099767967793</v>
      </c>
      <c r="I3" s="25">
        <f>+'Agricultural production'!Q4*'Agricultural production'!AE4*0.2</f>
        <v>14299.836875000001</v>
      </c>
      <c r="K3" s="25">
        <f>+O3*'Agricultural production'!C4</f>
        <v>59283.215735969461</v>
      </c>
      <c r="M3" s="25">
        <f>+U3*0.5*T3</f>
        <v>2801.682765</v>
      </c>
      <c r="N3" s="32">
        <v>2000</v>
      </c>
      <c r="O3" s="25">
        <v>52.231908137418024</v>
      </c>
      <c r="P3" s="25"/>
      <c r="Q3" s="25">
        <f>+N3+K3+I3+H3+E3+M3</f>
        <v>167957.81324214171</v>
      </c>
      <c r="R3" s="25">
        <f>+Q3/(Population!AN4*Population!X4)</f>
        <v>291.64813510961858</v>
      </c>
      <c r="S3" s="25"/>
      <c r="T3" s="78">
        <v>88.942310000000006</v>
      </c>
      <c r="U3" s="76">
        <v>63</v>
      </c>
      <c r="V3" s="25">
        <f>+E3-(C3*0.46*1*200)/2</f>
        <v>60500</v>
      </c>
      <c r="W3" s="25"/>
      <c r="X3" s="25"/>
      <c r="Y3" s="25"/>
      <c r="Z3" s="25"/>
      <c r="AA3" s="25"/>
      <c r="AB3" s="25"/>
      <c r="AC3" s="25"/>
      <c r="AD3" s="32">
        <v>60</v>
      </c>
    </row>
    <row r="4" spans="1:31" ht="15" x14ac:dyDescent="0.25">
      <c r="A4">
        <f>+A3+1</f>
        <v>1702</v>
      </c>
      <c r="B4" s="24">
        <f>+Population!AN5</f>
        <v>0.15037764330203909</v>
      </c>
      <c r="C4" s="25">
        <f>+Population!X5*Population!Z5*resteconomy!B4</f>
        <v>482.71567722762597</v>
      </c>
      <c r="D4" s="25">
        <v>92.702851202851207</v>
      </c>
      <c r="E4" s="25">
        <f t="shared" ref="E4:E67" si="0">+((C4*0.46*1*200)/2)+(F4*1500)+D4*100</f>
        <v>83975.20627275591</v>
      </c>
      <c r="F4" s="50">
        <v>35</v>
      </c>
      <c r="G4" s="25">
        <f t="shared" ref="G4:G67" si="1">+H4+I4</f>
        <v>25620.310642974873</v>
      </c>
      <c r="H4" s="25">
        <f>+('Livestock in possession'!R4+'Livestock in possession'!T4/2)*'Agricultural production'!Z5*0.1</f>
        <v>10065.289392974868</v>
      </c>
      <c r="I4" s="25">
        <f>+'Agricultural production'!Q5*'Agricultural production'!AE5*0.2</f>
        <v>15555.021250000003</v>
      </c>
      <c r="K4" s="25">
        <f>+O4*'Agricultural production'!C5</f>
        <v>52137.565219763492</v>
      </c>
      <c r="M4" s="25">
        <f t="shared" ref="M4:M67" si="2">+U4*0.5*T4</f>
        <v>481</v>
      </c>
      <c r="N4" s="25">
        <f>+'Gross receipts from VOC sales'!B6*0.2</f>
        <v>2858.272586872587</v>
      </c>
      <c r="O4" s="25">
        <v>50.865917287574135</v>
      </c>
      <c r="P4" s="25"/>
      <c r="Q4" s="25">
        <f t="shared" ref="Q4:Q67" si="3">+N4+K4+I4+H4+E4+M4</f>
        <v>165072.35472236684</v>
      </c>
      <c r="R4" s="25">
        <f>+Q4/(Population!AN5*Population!X5)</f>
        <v>262.76677757520542</v>
      </c>
      <c r="S4" s="25"/>
      <c r="T4" s="78">
        <v>120.25</v>
      </c>
      <c r="U4" s="76">
        <v>8</v>
      </c>
      <c r="V4" s="25">
        <f t="shared" ref="V4:V67" si="4">+E4-(C4*0.46*1*200)/2</f>
        <v>61770.285120285116</v>
      </c>
      <c r="W4" s="25"/>
      <c r="X4" s="25"/>
      <c r="Y4" s="25"/>
      <c r="Z4" s="25"/>
      <c r="AA4" s="25"/>
      <c r="AB4" s="25"/>
      <c r="AC4" s="25"/>
      <c r="AD4" s="32">
        <v>60</v>
      </c>
    </row>
    <row r="5" spans="1:31" ht="15" x14ac:dyDescent="0.25">
      <c r="A5">
        <f t="shared" ref="A5:A68" si="5">+A4+1</f>
        <v>1703</v>
      </c>
      <c r="B5" s="24">
        <f>+Population!AN6</f>
        <v>0.16759655048577776</v>
      </c>
      <c r="C5" s="25">
        <f>+Population!X6*Population!Z6*resteconomy!B5</f>
        <v>567.26340385567369</v>
      </c>
      <c r="D5" s="25">
        <v>45.911196911196839</v>
      </c>
      <c r="E5" s="25">
        <f t="shared" si="0"/>
        <v>83185.236268480672</v>
      </c>
      <c r="F5" s="50">
        <v>35</v>
      </c>
      <c r="G5" s="25">
        <f t="shared" si="1"/>
        <v>26506.427238742734</v>
      </c>
      <c r="H5" s="25">
        <f>+('Livestock in possession'!R5+'Livestock in possession'!T5/2)*'Agricultural production'!Z6*0.1</f>
        <v>10091.652238742732</v>
      </c>
      <c r="I5" s="25">
        <f>+'Agricultural production'!Q6*'Agricultural production'!AE6*0.2</f>
        <v>16414.775000000001</v>
      </c>
      <c r="K5" s="25">
        <f>+O5*'Agricultural production'!C6</f>
        <v>48001.768656494227</v>
      </c>
      <c r="M5" s="25">
        <f t="shared" si="2"/>
        <v>1734.565875</v>
      </c>
      <c r="N5" s="32">
        <v>2600</v>
      </c>
      <c r="O5" s="25">
        <v>49.460864148886373</v>
      </c>
      <c r="P5" s="25"/>
      <c r="Q5" s="25">
        <f t="shared" si="3"/>
        <v>162027.99803871763</v>
      </c>
      <c r="R5" s="25">
        <f>+Q5/(Population!AN6*Population!X6)</f>
        <v>219.10092394841541</v>
      </c>
      <c r="S5" s="25"/>
      <c r="T5" s="78">
        <v>99.118049999999997</v>
      </c>
      <c r="U5" s="76">
        <v>35</v>
      </c>
      <c r="V5" s="25">
        <f t="shared" si="4"/>
        <v>57091.119691119682</v>
      </c>
      <c r="W5" s="25">
        <f>+('Livestock in possession'!I8-'Livestock in possession'!I3)/5</f>
        <v>595.11320038664928</v>
      </c>
      <c r="X5" s="25">
        <f>+('Livestock in possession'!J8-'Livestock in possession'!J3)/5</f>
        <v>6598.5505021610352</v>
      </c>
      <c r="Y5" s="25">
        <f>+('Livestock in possession'!B8-'Livestock in possession'!B3)*'Livestock in possession'!F5/5</f>
        <v>141.52310771254858</v>
      </c>
      <c r="Z5" s="25">
        <f>+('Agricultural production'!H9-'Agricultural production'!H4+'Agricultural production'!J9-'Agricultural production'!J4+'Agricultural production'!L9-'Agricultural production'!L4)*'Agricultural production'!W6*2*'Agricultural production'!AE6/5</f>
        <v>-156.91</v>
      </c>
      <c r="AA5" s="25">
        <f>+('Agricultural production'!B9-'Agricultural production'!B4)/5</f>
        <v>49530</v>
      </c>
      <c r="AB5" s="25">
        <v>9912.9574586471517</v>
      </c>
      <c r="AC5" s="25">
        <f>+W5*'Agricultural production'!Z4*300*1.5+46*'Agricultural production'!Z4*resteconomy!X5+resteconomy!Y5*100</f>
        <v>61083.339540141264</v>
      </c>
      <c r="AD5" s="25">
        <f>+(AC5+AB5+Z5)/1000</f>
        <v>70.839386998788413</v>
      </c>
      <c r="AE5" s="25">
        <f>+(AD5)+'Agricultural production'!AJ6</f>
        <v>456.0232616076886</v>
      </c>
    </row>
    <row r="6" spans="1:31" ht="15" x14ac:dyDescent="0.25">
      <c r="A6">
        <f t="shared" si="5"/>
        <v>1704</v>
      </c>
      <c r="B6" s="24">
        <f>+Population!AN7</f>
        <v>0.16687846096722381</v>
      </c>
      <c r="C6" s="25">
        <f>+Population!X7*Population!Z7*resteconomy!B6</f>
        <v>566.87199427533369</v>
      </c>
      <c r="D6" s="25">
        <v>43.712503712503803</v>
      </c>
      <c r="E6" s="25">
        <f t="shared" si="0"/>
        <v>82947.362107915731</v>
      </c>
      <c r="F6" s="50">
        <v>35</v>
      </c>
      <c r="G6" s="25">
        <f t="shared" si="1"/>
        <v>25940.563907692776</v>
      </c>
      <c r="H6" s="25">
        <f>+('Livestock in possession'!R6+'Livestock in possession'!T6/2)*'Agricultural production'!Z7*0.1</f>
        <v>9396.1639076927731</v>
      </c>
      <c r="I6" s="25">
        <f>+'Agricultural production'!Q7*'Agricultural production'!AE7*0.2</f>
        <v>16544.400000000001</v>
      </c>
      <c r="K6" s="25">
        <f>+O6*'Agricultural production'!C7</f>
        <v>49576.139714029137</v>
      </c>
      <c r="M6" s="25">
        <f t="shared" si="2"/>
        <v>360</v>
      </c>
      <c r="N6" s="25">
        <f>+'Gross receipts from VOC sales'!B8*0.2</f>
        <v>4255.6347490347498</v>
      </c>
      <c r="O6" s="25">
        <v>48.015631684289723</v>
      </c>
      <c r="P6" s="25"/>
      <c r="Q6" s="25">
        <f t="shared" si="3"/>
        <v>163079.7004786724</v>
      </c>
      <c r="R6" s="25">
        <f>+Q6/(Population!AN7*Population!X7)</f>
        <v>219.01013530039387</v>
      </c>
      <c r="S6" s="25"/>
      <c r="T6" s="78">
        <v>80</v>
      </c>
      <c r="U6" s="76">
        <v>9</v>
      </c>
      <c r="V6" s="25">
        <f t="shared" si="4"/>
        <v>56871.250371250382</v>
      </c>
      <c r="W6" s="25">
        <f>+('Livestock in possession'!I9-'Livestock in possession'!I4)/5</f>
        <v>-748.44145452935481</v>
      </c>
      <c r="X6" s="25">
        <f>+('Livestock in possession'!J9-'Livestock in possession'!J4)/5</f>
        <v>3448.9030248048048</v>
      </c>
      <c r="Y6" s="25">
        <f>+('Livestock in possession'!B9-'Livestock in possession'!B4)*'Livestock in possession'!F6/5</f>
        <v>178.57131392961216</v>
      </c>
      <c r="Z6" s="25">
        <f>+('Agricultural production'!H10-'Agricultural production'!H5+'Agricultural production'!J10-'Agricultural production'!J5+'Agricultural production'!L10-'Agricultural production'!L5)*'Agricultural production'!W7*2*'Agricultural production'!AE7/5</f>
        <v>413.27</v>
      </c>
      <c r="AA6" s="25">
        <f>+('Agricultural production'!B10-'Agricultural production'!B5)/5</f>
        <v>49390</v>
      </c>
      <c r="AB6" s="25">
        <v>9413.3850198803848</v>
      </c>
      <c r="AC6" s="25">
        <f>+W6*'Agricultural production'!Z5*300*1.5+46*'Agricultural production'!Z5*resteconomy!X6+resteconomy!Y6*100</f>
        <v>3223.4540567635795</v>
      </c>
      <c r="AD6" s="25">
        <f t="shared" ref="AD6:AD69" si="6">+(AC6+AB6+Z6)/1000</f>
        <v>13.050109076643965</v>
      </c>
      <c r="AE6" s="25">
        <f>+(AD6)+'Agricultural production'!AJ7</f>
        <v>340.38884429398701</v>
      </c>
    </row>
    <row r="7" spans="1:31" ht="15" x14ac:dyDescent="0.25">
      <c r="A7">
        <f t="shared" si="5"/>
        <v>1705</v>
      </c>
      <c r="B7" s="24">
        <f>+Population!AN8</f>
        <v>0.17908356435056683</v>
      </c>
      <c r="C7" s="25">
        <f>+Population!X8*Population!Z8*resteconomy!B7</f>
        <v>635.4872042487184</v>
      </c>
      <c r="D7" s="25">
        <v>39.643711298176413</v>
      </c>
      <c r="E7" s="25">
        <f t="shared" si="0"/>
        <v>85696.782525258677</v>
      </c>
      <c r="F7" s="50">
        <v>35</v>
      </c>
      <c r="G7" s="25">
        <f t="shared" si="1"/>
        <v>26974.463240112476</v>
      </c>
      <c r="H7" s="25">
        <f>+('Livestock in possession'!R7+'Livestock in possession'!T7/2)*'Agricultural production'!Z8*0.1</f>
        <v>9647.2132401124782</v>
      </c>
      <c r="I7" s="25">
        <f>+'Agricultural production'!Q8*'Agricultural production'!AE8*0.2</f>
        <v>17327.25</v>
      </c>
      <c r="K7" s="25">
        <f>+O7*'Agricultural production'!C8</f>
        <v>50065.280303021056</v>
      </c>
      <c r="M7" s="25">
        <f t="shared" si="2"/>
        <v>704</v>
      </c>
      <c r="N7" s="25">
        <f>+'Gross receipts from VOC sales'!B9*0.2</f>
        <v>3563.9498069498072</v>
      </c>
      <c r="O7" s="25">
        <v>46.529070913588342</v>
      </c>
      <c r="P7" s="25"/>
      <c r="Q7" s="25">
        <f t="shared" si="3"/>
        <v>167004.47587534203</v>
      </c>
      <c r="R7" s="25">
        <f>+Q7/(Population!AN8*Population!X8)</f>
        <v>199.12338081360906</v>
      </c>
      <c r="S7" s="25"/>
      <c r="T7" s="78">
        <v>128</v>
      </c>
      <c r="U7" s="76">
        <v>11</v>
      </c>
      <c r="V7" s="25">
        <f t="shared" si="4"/>
        <v>56464.371129817635</v>
      </c>
      <c r="W7" s="25">
        <f>+('Livestock in possession'!I10-'Livestock in possession'!I5)/5</f>
        <v>-659.3493947699593</v>
      </c>
      <c r="X7" s="25">
        <f>+('Livestock in possession'!J10-'Livestock in possession'!J5)/5</f>
        <v>4084.4680795756167</v>
      </c>
      <c r="Y7" s="25">
        <f>+('Livestock in possession'!B10-'Livestock in possession'!B5)*'Livestock in possession'!F7/5</f>
        <v>227.49203627679145</v>
      </c>
      <c r="Z7" s="25">
        <f>+('Agricultural production'!H11-'Agricultural production'!H6+'Agricultural production'!J11-'Agricultural production'!J6+'Agricultural production'!L11-'Agricultural production'!L6)*'Agricultural production'!W8*2*'Agricultural production'!AE8/5</f>
        <v>1511.64</v>
      </c>
      <c r="AA7" s="25">
        <f>+('Agricultural production'!B11-'Agricultural production'!B6)/5</f>
        <v>50500</v>
      </c>
      <c r="AB7" s="25">
        <v>9599.2239935475609</v>
      </c>
      <c r="AC7" s="25">
        <f>+W7*'Agricultural production'!Z6*300*1.5+46*'Agricultural production'!Z6*resteconomy!X7+resteconomy!Y7*100</f>
        <v>13810.278600257445</v>
      </c>
      <c r="AD7" s="25">
        <f t="shared" si="6"/>
        <v>24.921142593805005</v>
      </c>
      <c r="AE7" s="25">
        <f>+(AD7)+'Agricultural production'!AJ8</f>
        <v>363.57980325948768</v>
      </c>
    </row>
    <row r="8" spans="1:31" ht="15" x14ac:dyDescent="0.25">
      <c r="A8">
        <f t="shared" si="5"/>
        <v>1706</v>
      </c>
      <c r="B8" s="24">
        <f>+Population!AN9</f>
        <v>0.17941650262079173</v>
      </c>
      <c r="C8" s="25">
        <f>+Population!X9*Population!Z9*resteconomy!B8</f>
        <v>637.85873811848728</v>
      </c>
      <c r="D8" s="25">
        <v>-37.158515334828962</v>
      </c>
      <c r="E8" s="25">
        <f t="shared" si="0"/>
        <v>78125.650419967511</v>
      </c>
      <c r="F8" s="50">
        <v>35</v>
      </c>
      <c r="G8" s="25">
        <f t="shared" si="1"/>
        <v>36256.091543408096</v>
      </c>
      <c r="H8" s="25">
        <f>+('Livestock in possession'!R8+'Livestock in possession'!T8/2)*'Agricultural production'!Z9*0.1</f>
        <v>18865.862091932082</v>
      </c>
      <c r="I8" s="25">
        <f>+'Agricultural production'!Q9*'Agricultural production'!AE9*0.2</f>
        <v>17390.229451476014</v>
      </c>
      <c r="K8" s="25">
        <f>+O8*'Agricultural production'!C9</f>
        <v>50940.000000000007</v>
      </c>
      <c r="M8" s="25">
        <f t="shared" si="2"/>
        <v>207</v>
      </c>
      <c r="N8" s="25">
        <f>+'Gross receipts from VOC sales'!B10*0.2</f>
        <v>3361.2949806949809</v>
      </c>
      <c r="O8" s="25">
        <v>45.000000000000007</v>
      </c>
      <c r="P8" s="25"/>
      <c r="Q8" s="25">
        <f t="shared" si="3"/>
        <v>168890.0369440706</v>
      </c>
      <c r="R8" s="25">
        <f>+Q8/(Population!AN9*Population!X9)</f>
        <v>199.90127931082665</v>
      </c>
      <c r="S8" s="25"/>
      <c r="T8" s="79">
        <v>138</v>
      </c>
      <c r="U8" s="76">
        <v>3</v>
      </c>
      <c r="V8" s="25">
        <f t="shared" si="4"/>
        <v>48784.148466517094</v>
      </c>
      <c r="W8" s="25">
        <f>+('Livestock in possession'!I11-'Livestock in possession'!I6)/5</f>
        <v>821.01247045805212</v>
      </c>
      <c r="X8" s="25">
        <f>+('Livestock in possession'!J11-'Livestock in possession'!J6)/5</f>
        <v>15112.96819908496</v>
      </c>
      <c r="Y8" s="25">
        <f>+('Livestock in possession'!B11-'Livestock in possession'!B6)*'Livestock in possession'!F8/5</f>
        <v>320.54514645723287</v>
      </c>
      <c r="Z8" s="25">
        <f>+('Agricultural production'!H12-'Agricultural production'!H7+'Agricultural production'!J12-'Agricultural production'!J7+'Agricultural production'!L12-'Agricultural production'!L7)*'Agricultural production'!W9*2*'Agricultural production'!AE9/5</f>
        <v>3561.415</v>
      </c>
      <c r="AA8" s="25">
        <f>+('Agricultural production'!B12-'Agricultural production'!B7)/5</f>
        <v>81260</v>
      </c>
      <c r="AB8" s="25">
        <v>15694.076380902025</v>
      </c>
      <c r="AC8" s="25">
        <f>+W8*'Agricultural production'!Z7*300*1.5+46*'Agricultural production'!Z7*resteconomy!X8+resteconomy!Y8*100</f>
        <v>119508.08401669732</v>
      </c>
      <c r="AD8" s="25">
        <f t="shared" si="6"/>
        <v>138.76357539759934</v>
      </c>
      <c r="AE8" s="25">
        <f>+(AD8)+'Agricultural production'!AJ9</f>
        <v>728.29290856612079</v>
      </c>
    </row>
    <row r="9" spans="1:31" ht="15" x14ac:dyDescent="0.25">
      <c r="A9">
        <f t="shared" si="5"/>
        <v>1707</v>
      </c>
      <c r="B9" s="24">
        <f>+Population!AN10</f>
        <v>0.16354075166180593</v>
      </c>
      <c r="C9" s="25">
        <f>+Population!X10*Population!Z10*resteconomy!B9</f>
        <v>527.07438816249362</v>
      </c>
      <c r="D9" s="25">
        <v>38.039307770703431</v>
      </c>
      <c r="E9" s="25">
        <f t="shared" si="0"/>
        <v>80549.352632545051</v>
      </c>
      <c r="F9" s="50">
        <v>35</v>
      </c>
      <c r="G9" s="25">
        <f t="shared" si="1"/>
        <v>33364.963791753915</v>
      </c>
      <c r="H9" s="25">
        <f>+('Livestock in possession'!R9+'Livestock in possession'!T9/2)*'Agricultural production'!Z10*0.1</f>
        <v>17203.736380134691</v>
      </c>
      <c r="I9" s="25">
        <f>+'Agricultural production'!Q10*'Agricultural production'!AE10*0.2</f>
        <v>16161.227411619226</v>
      </c>
      <c r="K9" s="25">
        <f>+O9*'Agricultural production'!C10</f>
        <v>63732</v>
      </c>
      <c r="M9" s="25">
        <f t="shared" si="2"/>
        <v>594</v>
      </c>
      <c r="N9" s="25">
        <f>+'Gross receipts from VOC sales'!B11*0.2</f>
        <v>1870.4177606177609</v>
      </c>
      <c r="O9" s="32">
        <v>47</v>
      </c>
      <c r="P9" s="25"/>
      <c r="Q9" s="25">
        <f t="shared" si="3"/>
        <v>180110.73418491671</v>
      </c>
      <c r="R9" s="25">
        <f>+Q9/(Population!AN10*Population!X10)</f>
        <v>247.38971328278265</v>
      </c>
      <c r="S9" s="25"/>
      <c r="T9" s="78">
        <v>148.5</v>
      </c>
      <c r="U9" s="76">
        <v>8</v>
      </c>
      <c r="V9" s="25">
        <f t="shared" si="4"/>
        <v>56303.930777070345</v>
      </c>
      <c r="W9" s="25">
        <f>+('Livestock in possession'!I12-'Livestock in possession'!I7)/5</f>
        <v>907.79015076070277</v>
      </c>
      <c r="X9" s="25">
        <f>+('Livestock in possession'!J12-'Livestock in possession'!J7)/5</f>
        <v>11294.115207444138</v>
      </c>
      <c r="Y9" s="25">
        <f>+('Livestock in possession'!B12-'Livestock in possession'!B7)*'Livestock in possession'!F9/5</f>
        <v>284.65250921833587</v>
      </c>
      <c r="Z9" s="25">
        <f>+('Agricultural production'!H13-'Agricultural production'!H8+'Agricultural production'!J13-'Agricultural production'!J8+'Agricultural production'!L13-'Agricultural production'!L8)*'Agricultural production'!W10*2*'Agricultural production'!AE10/5</f>
        <v>3067.4800000000005</v>
      </c>
      <c r="AA9" s="25">
        <f>+('Agricultural production'!B13-'Agricultural production'!B8)/5</f>
        <v>162300</v>
      </c>
      <c r="AB9" s="25">
        <v>32634.206688218903</v>
      </c>
      <c r="AC9" s="25">
        <f>+W9*'Agricultural production'!Z8*300*1.5+46*'Agricultural production'!Z8*resteconomy!X9+resteconomy!Y9*100</f>
        <v>104696.6864570092</v>
      </c>
      <c r="AD9" s="25">
        <f t="shared" si="6"/>
        <v>140.39837314522811</v>
      </c>
      <c r="AE9" s="25">
        <f>+(AD9)+'Agricultural production'!AJ10</f>
        <v>711.29766474723715</v>
      </c>
    </row>
    <row r="10" spans="1:31" ht="15" x14ac:dyDescent="0.25">
      <c r="A10">
        <f t="shared" si="5"/>
        <v>1708</v>
      </c>
      <c r="B10" s="24">
        <f>+Population!AN11</f>
        <v>0.1870761826825236</v>
      </c>
      <c r="C10" s="25">
        <f>+Population!X11*Population!Z11*resteconomy!B10</f>
        <v>672.92082868041928</v>
      </c>
      <c r="D10" s="25">
        <v>178.36920469174629</v>
      </c>
      <c r="E10" s="25">
        <f t="shared" si="0"/>
        <v>101291.27858847391</v>
      </c>
      <c r="F10" s="50">
        <v>35</v>
      </c>
      <c r="G10" s="25">
        <f t="shared" si="1"/>
        <v>37867.746342042898</v>
      </c>
      <c r="H10" s="25">
        <f>+('Livestock in possession'!R10+'Livestock in possession'!T10/2)*'Agricultural production'!Z11*0.1</f>
        <v>19896.744639150758</v>
      </c>
      <c r="I10" s="25">
        <f>+'Agricultural production'!Q11*'Agricultural production'!AE11*0.2</f>
        <v>17971.001702892143</v>
      </c>
      <c r="K10" s="25">
        <f>+O10*'Agricultural production'!C11</f>
        <v>67055.670103092663</v>
      </c>
      <c r="M10" s="25">
        <f t="shared" si="2"/>
        <v>501.94169999999997</v>
      </c>
      <c r="N10" s="25">
        <f>+'Gross receipts from VOC sales'!B12*0.2</f>
        <v>3453.2942084942088</v>
      </c>
      <c r="O10" s="25">
        <v>52.061855670103</v>
      </c>
      <c r="P10" s="25"/>
      <c r="Q10" s="25">
        <f t="shared" si="3"/>
        <v>210169.93094210367</v>
      </c>
      <c r="R10" s="25">
        <f>+Q10/(Population!AN11*Population!X11)</f>
        <v>227.1633409970473</v>
      </c>
      <c r="S10" s="25"/>
      <c r="T10" s="78">
        <v>111.54259999999999</v>
      </c>
      <c r="U10" s="76">
        <v>9</v>
      </c>
      <c r="V10" s="25">
        <f t="shared" si="4"/>
        <v>70336.920469174627</v>
      </c>
      <c r="W10" s="25">
        <f>+('Livestock in possession'!I13-'Livestock in possession'!I8)/5</f>
        <v>1292.5491437003366</v>
      </c>
      <c r="X10" s="25">
        <f>+('Livestock in possession'!J13-'Livestock in possession'!J8)/5</f>
        <v>7878.0271447652804</v>
      </c>
      <c r="Y10" s="25">
        <f>+('Livestock in possession'!B13-'Livestock in possession'!B8)*'Livestock in possession'!F10/5</f>
        <v>292.85734832964039</v>
      </c>
      <c r="Z10" s="25">
        <f>+('Agricultural production'!H14-'Agricultural production'!H9+'Agricultural production'!J14-'Agricultural production'!J9+'Agricultural production'!L14-'Agricultural production'!L9)*'Agricultural production'!W11*2*'Agricultural production'!AE11/5</f>
        <v>4296.24</v>
      </c>
      <c r="AA10" s="25">
        <f>+('Agricultural production'!B14-'Agricultural production'!B9)/5</f>
        <v>195910</v>
      </c>
      <c r="AB10" s="25">
        <v>39354.113465528491</v>
      </c>
      <c r="AC10" s="25">
        <f>+W10*'Agricultural production'!Z9*300*1.5+46*'Agricultural production'!Z9*resteconomy!X10+resteconomy!Y10*100</f>
        <v>171677.88630105415</v>
      </c>
      <c r="AD10" s="25">
        <f t="shared" si="6"/>
        <v>215.32823976658264</v>
      </c>
      <c r="AE10" s="25">
        <f>+(AD10)+'Agricultural production'!AJ11</f>
        <v>952.88936871710439</v>
      </c>
    </row>
    <row r="11" spans="1:31" ht="15" x14ac:dyDescent="0.25">
      <c r="A11">
        <f t="shared" si="5"/>
        <v>1709</v>
      </c>
      <c r="B11" s="24">
        <f>+Population!AN12</f>
        <v>0.17323391597760268</v>
      </c>
      <c r="C11" s="25">
        <f>+Population!X12*Population!Z12*resteconomy!B11</f>
        <v>676.57096418442768</v>
      </c>
      <c r="D11" s="25">
        <v>109.91921624882332</v>
      </c>
      <c r="E11" s="25">
        <f t="shared" si="0"/>
        <v>94614.185977366011</v>
      </c>
      <c r="F11" s="50">
        <v>35</v>
      </c>
      <c r="G11" s="25">
        <f t="shared" si="1"/>
        <v>38985.092159593638</v>
      </c>
      <c r="H11" s="25">
        <f>+('Livestock in possession'!R11+'Livestock in possession'!T11/2)*'Agricultural production'!Z12*0.1</f>
        <v>18193.038380263959</v>
      </c>
      <c r="I11" s="25">
        <f>+'Agricultural production'!Q12*'Agricultural production'!AE12*0.2</f>
        <v>20792.053779329679</v>
      </c>
      <c r="K11" s="25">
        <f>+O11*'Agricultural production'!C12</f>
        <v>64604.318621133847</v>
      </c>
      <c r="M11" s="25">
        <f t="shared" si="2"/>
        <v>1014.59655</v>
      </c>
      <c r="N11" s="25">
        <f>+'Gross receipts from VOC sales'!B13*0.2</f>
        <v>13190.170656370658</v>
      </c>
      <c r="O11" s="25">
        <v>45.769974226804003</v>
      </c>
      <c r="P11" s="25"/>
      <c r="Q11" s="25">
        <f t="shared" si="3"/>
        <v>212408.36396446414</v>
      </c>
      <c r="R11" s="25">
        <f>+Q11/(Population!AN12*Population!X12)</f>
        <v>231.51316053984087</v>
      </c>
      <c r="S11" s="25"/>
      <c r="T11" s="78">
        <v>119.3643</v>
      </c>
      <c r="U11" s="76">
        <v>17</v>
      </c>
      <c r="V11" s="25">
        <f t="shared" si="4"/>
        <v>63491.921624882336</v>
      </c>
      <c r="W11" s="25">
        <f>+('Livestock in possession'!I14-'Livestock in possession'!I9)/5</f>
        <v>554.31231659937623</v>
      </c>
      <c r="X11" s="25">
        <f>+('Livestock in possession'!J14-'Livestock in possession'!J9)/5</f>
        <v>4782.5950072472742</v>
      </c>
      <c r="Y11" s="25">
        <f>+('Livestock in possession'!B14-'Livestock in possession'!B9)*'Livestock in possession'!F11/5</f>
        <v>222.87999999999997</v>
      </c>
      <c r="Z11" s="25">
        <f>+('Agricultural production'!H15-'Agricultural production'!H10+'Agricultural production'!J15-'Agricultural production'!J10+'Agricultural production'!L15-'Agricultural production'!L10)*'Agricultural production'!W12*2*'Agricultural production'!AE12/5</f>
        <v>3180.3362500000003</v>
      </c>
      <c r="AA11" s="25">
        <f>+('Agricultural production'!B15-'Agricultural production'!B10)/5</f>
        <v>118580</v>
      </c>
      <c r="AB11" s="25">
        <v>25452.811830313229</v>
      </c>
      <c r="AC11" s="25">
        <f>+W11*'Agricultural production'!Z10*300*1.5+46*'Agricultural production'!Z10*resteconomy!X11+resteconomy!Y11*100</f>
        <v>93095.186847799981</v>
      </c>
      <c r="AD11" s="25">
        <f t="shared" si="6"/>
        <v>121.72833492811321</v>
      </c>
      <c r="AE11" s="25">
        <f>+(AD11)+'Agricultural production'!AJ12</f>
        <v>812.73081874496961</v>
      </c>
    </row>
    <row r="12" spans="1:31" ht="15" x14ac:dyDescent="0.25">
      <c r="A12">
        <f t="shared" si="5"/>
        <v>1710</v>
      </c>
      <c r="B12" s="24">
        <f>+Population!AN13</f>
        <v>0.16306557387991163</v>
      </c>
      <c r="C12" s="25">
        <f>+Population!X13*Population!Z13*resteconomy!B12</f>
        <v>643.66083682984572</v>
      </c>
      <c r="D12" s="25">
        <v>-0.20278666946126123</v>
      </c>
      <c r="E12" s="25">
        <f t="shared" si="0"/>
        <v>82088.119827226779</v>
      </c>
      <c r="F12" s="50">
        <v>35</v>
      </c>
      <c r="G12" s="25">
        <f t="shared" si="1"/>
        <v>44072.179767378548</v>
      </c>
      <c r="H12" s="25">
        <f>+('Livestock in possession'!R12+'Livestock in possession'!T12/2)*'Agricultural production'!Z13*0.1</f>
        <v>21602.489745988514</v>
      </c>
      <c r="I12" s="25">
        <f>+'Agricultural production'!Q13*'Agricultural production'!AE13*0.2</f>
        <v>22469.690021390037</v>
      </c>
      <c r="K12" s="25">
        <f>+O12*'Agricultural production'!C13</f>
        <v>21308.054123711285</v>
      </c>
      <c r="M12" s="25">
        <f t="shared" si="2"/>
        <v>801.28739999999993</v>
      </c>
      <c r="N12" s="25">
        <f>+'Gross receipts from VOC sales'!B14*0.2</f>
        <v>13958.34671814672</v>
      </c>
      <c r="O12" s="25">
        <v>17.9059278350515</v>
      </c>
      <c r="P12" s="25"/>
      <c r="Q12" s="25">
        <f t="shared" si="3"/>
        <v>162227.98783646335</v>
      </c>
      <c r="R12" s="25">
        <f>+Q12/(Population!AN13*Population!X13)</f>
        <v>185.65586811177363</v>
      </c>
      <c r="S12" s="25"/>
      <c r="T12" s="78">
        <v>133.5479</v>
      </c>
      <c r="U12" s="76">
        <v>12</v>
      </c>
      <c r="V12" s="25">
        <f t="shared" si="4"/>
        <v>52479.721333053873</v>
      </c>
      <c r="W12" s="25">
        <f>+('Livestock in possession'!I15-'Livestock in possession'!I10)/5</f>
        <v>364.25453833946813</v>
      </c>
      <c r="X12" s="25">
        <f>+('Livestock in possession'!J15-'Livestock in possession'!J10)/5</f>
        <v>1784.1905326220817</v>
      </c>
      <c r="Y12" s="25">
        <f>+('Livestock in possession'!B15-'Livestock in possession'!B10)*'Livestock in possession'!F12/5</f>
        <v>124.32000000000001</v>
      </c>
      <c r="Z12" s="25">
        <f>+('Agricultural production'!H16-'Agricultural production'!H11+'Agricultural production'!J16-'Agricultural production'!J11+'Agricultural production'!L16-'Agricultural production'!L11)*'Agricultural production'!W13*2*'Agricultural production'!AE13/5</f>
        <v>1708.5900000000001</v>
      </c>
      <c r="AA12" s="25">
        <f>+('Agricultural production'!B16-'Agricultural production'!B11)/5</f>
        <v>140600</v>
      </c>
      <c r="AB12" s="25">
        <v>34400.158596248097</v>
      </c>
      <c r="AC12" s="25">
        <f>+W12*'Agricultural production'!Z11*300*1.5+46*'Agricultural production'!Z11*resteconomy!X12+resteconomy!Y12*100</f>
        <v>49227.60130185922</v>
      </c>
      <c r="AD12" s="25">
        <f t="shared" si="6"/>
        <v>85.336349898107315</v>
      </c>
      <c r="AE12" s="25">
        <f>+(AD12)+'Agricultural production'!AJ13</f>
        <v>894.56540489246936</v>
      </c>
    </row>
    <row r="13" spans="1:31" ht="15" x14ac:dyDescent="0.25">
      <c r="A13">
        <f t="shared" si="5"/>
        <v>1711</v>
      </c>
      <c r="B13" s="24">
        <f>+Population!AN14</f>
        <v>0.13051174175313279</v>
      </c>
      <c r="C13" s="25">
        <f>+Population!X14*Population!Z14*resteconomy!B13</f>
        <v>516.11863799045602</v>
      </c>
      <c r="D13" s="25">
        <v>52.855084581749907</v>
      </c>
      <c r="E13" s="25">
        <f t="shared" si="0"/>
        <v>81526.965805735963</v>
      </c>
      <c r="F13" s="50">
        <v>35</v>
      </c>
      <c r="G13" s="25">
        <f t="shared" si="1"/>
        <v>39051.448759214414</v>
      </c>
      <c r="H13" s="25">
        <f>+('Livestock in possession'!R13+'Livestock in possession'!T13/2)*'Agricultural production'!Z14*0.1</f>
        <v>20727.348830065363</v>
      </c>
      <c r="I13" s="25">
        <f>+'Agricultural production'!Q14*'Agricultural production'!AE14*0.2</f>
        <v>18324.099929149055</v>
      </c>
      <c r="K13" s="25">
        <f>+O13*'Agricultural production'!C14</f>
        <v>26484.502255154614</v>
      </c>
      <c r="M13" s="25">
        <f t="shared" si="2"/>
        <v>1241.109375</v>
      </c>
      <c r="N13" s="25">
        <f>+'Gross receipts from VOC sales'!B15*0.2</f>
        <v>5956.5127413127411</v>
      </c>
      <c r="O13" s="25">
        <v>24.197809278350491</v>
      </c>
      <c r="P13" s="25"/>
      <c r="Q13" s="25">
        <f t="shared" si="3"/>
        <v>154260.53893641772</v>
      </c>
      <c r="R13" s="25">
        <f>+Q13/(Population!AN14*Population!X14)</f>
        <v>223.2425768755779</v>
      </c>
      <c r="S13" s="25"/>
      <c r="T13" s="78">
        <v>85.59375</v>
      </c>
      <c r="U13" s="76">
        <v>29</v>
      </c>
      <c r="V13" s="25">
        <f t="shared" si="4"/>
        <v>57785.508458174983</v>
      </c>
      <c r="W13" s="25">
        <f>+('Livestock in possession'!I16-'Livestock in possession'!I11)/5</f>
        <v>-761.18888353154694</v>
      </c>
      <c r="X13" s="25">
        <f>+('Livestock in possession'!J16-'Livestock in possession'!J11)/5</f>
        <v>-8966.0067435499332</v>
      </c>
      <c r="Y13" s="25">
        <f>+('Livestock in possession'!B16-'Livestock in possession'!B11)*'Livestock in possession'!F13/5</f>
        <v>35.64</v>
      </c>
      <c r="Z13" s="25">
        <f>+('Agricultural production'!H17-'Agricultural production'!H12+'Agricultural production'!J17-'Agricultural production'!J12+'Agricultural production'!L17-'Agricultural production'!L12)*'Agricultural production'!W14*2*'Agricultural production'!AE14/5</f>
        <v>-909.99999999999977</v>
      </c>
      <c r="AA13" s="25">
        <f>+('Agricultural production'!B17-'Agricultural production'!B12)/5</f>
        <v>4772</v>
      </c>
      <c r="AB13" s="25">
        <v>1254.2804210976624</v>
      </c>
      <c r="AC13" s="25">
        <f>+W13*'Agricultural production'!Z12*300*1.5+46*'Agricultural production'!Z12*resteconomy!X13+resteconomy!Y13*100</f>
        <v>-109367.1247906271</v>
      </c>
      <c r="AD13" s="25">
        <f t="shared" si="6"/>
        <v>-109.02284436952944</v>
      </c>
      <c r="AE13" s="25">
        <f>+(AD13)+'Agricultural production'!AJ14</f>
        <v>357.85435380024012</v>
      </c>
    </row>
    <row r="14" spans="1:31" ht="15" x14ac:dyDescent="0.25">
      <c r="A14">
        <f t="shared" si="5"/>
        <v>1712</v>
      </c>
      <c r="B14" s="24">
        <f>+Population!AN15</f>
        <v>0.16825854387031597</v>
      </c>
      <c r="C14" s="25">
        <f>+Population!X15*Population!Z15*resteconomy!B14</f>
        <v>715.25399789975347</v>
      </c>
      <c r="D14" s="25">
        <v>6.6594963026626601</v>
      </c>
      <c r="E14" s="25">
        <f t="shared" si="0"/>
        <v>86067.633533654909</v>
      </c>
      <c r="F14" s="50">
        <v>35</v>
      </c>
      <c r="G14" s="25">
        <f t="shared" si="1"/>
        <v>39454.218758841896</v>
      </c>
      <c r="H14" s="25">
        <f>+('Livestock in possession'!R14+'Livestock in possession'!T14/2)*'Agricultural production'!Z15*0.1</f>
        <v>19402.125179721592</v>
      </c>
      <c r="I14" s="25">
        <f>+'Agricultural production'!Q15*'Agricultural production'!AE15*0.2</f>
        <v>20052.093579120305</v>
      </c>
      <c r="K14" s="32">
        <v>27000</v>
      </c>
      <c r="M14" s="25">
        <f t="shared" si="2"/>
        <v>2469.8598999999999</v>
      </c>
      <c r="N14" s="25">
        <f>+'Gross receipts from VOC sales'!B16*0.2</f>
        <v>5094.4718146718151</v>
      </c>
      <c r="O14" s="25">
        <v>4.1237113402060714</v>
      </c>
      <c r="P14" s="25"/>
      <c r="Q14" s="25">
        <f t="shared" si="3"/>
        <v>160086.18400716863</v>
      </c>
      <c r="R14" s="25">
        <f>+Q14/(Population!AN15*Population!X15)</f>
        <v>167.71701325724487</v>
      </c>
      <c r="S14" s="25"/>
      <c r="T14" s="78">
        <v>159.3458</v>
      </c>
      <c r="U14" s="76">
        <v>31</v>
      </c>
      <c r="V14" s="25">
        <f t="shared" si="4"/>
        <v>53165.949630266252</v>
      </c>
      <c r="W14" s="25">
        <f>+('Livestock in possession'!I17-'Livestock in possession'!I12)/5</f>
        <v>-1195.0401280007318</v>
      </c>
      <c r="X14" s="25">
        <f>+('Livestock in possession'!J17-'Livestock in possession'!J12)/5</f>
        <v>-12635.718907557664</v>
      </c>
      <c r="Y14" s="25">
        <f>+('Livestock in possession'!B17-'Livestock in possession'!B12)*'Livestock in possession'!F14/5</f>
        <v>-40.766000000000005</v>
      </c>
      <c r="Z14" s="25">
        <f>+('Agricultural production'!H18-'Agricultural production'!H13+'Agricultural production'!J18-'Agricultural production'!J13+'Agricultural production'!L18-'Agricultural production'!L13)*'Agricultural production'!W15*2*'Agricultural production'!AE15/5</f>
        <v>-2127.766804629513</v>
      </c>
      <c r="AA14" s="25">
        <f>+('Agricultural production'!B18-'Agricultural production'!B13)/5</f>
        <v>18060</v>
      </c>
      <c r="AB14" s="25">
        <v>4722.323191498378</v>
      </c>
      <c r="AC14" s="25">
        <f>+W14*'Agricultural production'!Z13*300*1.5+46*'Agricultural production'!Z13*resteconomy!X14+resteconomy!Y14*100</f>
        <v>-171462.01446580232</v>
      </c>
      <c r="AD14" s="25">
        <f t="shared" si="6"/>
        <v>-168.86745807893345</v>
      </c>
      <c r="AE14" s="25">
        <f>+(AD14)+'Agricultural production'!AJ15</f>
        <v>283.70166362088651</v>
      </c>
    </row>
    <row r="15" spans="1:31" ht="15" x14ac:dyDescent="0.25">
      <c r="A15">
        <f t="shared" si="5"/>
        <v>1713</v>
      </c>
      <c r="B15" s="24">
        <f>+Population!AN16</f>
        <v>0.18614363055339089</v>
      </c>
      <c r="C15" s="25">
        <f>+Population!X16*Population!Z16*resteconomy!B15</f>
        <v>737.16865381399259</v>
      </c>
      <c r="D15" s="25">
        <v>-91.849302838283734</v>
      </c>
      <c r="E15" s="25">
        <f t="shared" si="0"/>
        <v>77224.827791615273</v>
      </c>
      <c r="F15" s="50">
        <v>35</v>
      </c>
      <c r="G15" s="25">
        <f t="shared" si="1"/>
        <v>38401.6171889205</v>
      </c>
      <c r="H15" s="25">
        <f>+('Livestock in possession'!R15+'Livestock in possession'!T15/2)*'Agricultural production'!Z16*0.1</f>
        <v>19228.478040774451</v>
      </c>
      <c r="I15" s="25">
        <f>+'Agricultural production'!Q16*'Agricultural production'!AE16*0.2</f>
        <v>19173.139148146049</v>
      </c>
      <c r="K15" s="25">
        <f>+O15*'Agricultural production'!C16</f>
        <v>29284.938804277506</v>
      </c>
      <c r="M15" s="25">
        <f t="shared" si="2"/>
        <v>9668.1647999999968</v>
      </c>
      <c r="N15" s="25">
        <f>+'Gross receipts from VOC sales'!B17*0.2</f>
        <v>9214.0316602316598</v>
      </c>
      <c r="O15" s="25">
        <v>16.12162884903799</v>
      </c>
      <c r="P15" s="25"/>
      <c r="Q15" s="25">
        <f t="shared" si="3"/>
        <v>163793.58024504493</v>
      </c>
      <c r="R15" s="25">
        <f>+Q15/(Population!AN16*Population!X16)</f>
        <v>164.98812018828633</v>
      </c>
      <c r="S15" s="25"/>
      <c r="T15" s="78">
        <v>115.09719999999997</v>
      </c>
      <c r="U15" s="76">
        <v>168</v>
      </c>
      <c r="V15" s="25">
        <f t="shared" si="4"/>
        <v>43315.069716171616</v>
      </c>
      <c r="W15" s="25">
        <f>+('Livestock in possession'!I18-'Livestock in possession'!I13)/5</f>
        <v>-1049.3881470407555</v>
      </c>
      <c r="X15" s="25">
        <f>+('Livestock in possession'!J18-'Livestock in possession'!J13)/5</f>
        <v>-11182.619182331782</v>
      </c>
      <c r="Y15" s="25">
        <f>+('Livestock in possession'!B18-'Livestock in possession'!B13)*'Livestock in possession'!F15/5</f>
        <v>15.165728150174431</v>
      </c>
      <c r="Z15" s="25">
        <f>+('Agricultural production'!H19-'Agricultural production'!H14+'Agricultural production'!J19-'Agricultural production'!J14+'Agricultural production'!L19-'Agricultural production'!L14)*'Agricultural production'!W16*2*'Agricultural production'!AE16/5</f>
        <v>-1155.4479450712536</v>
      </c>
      <c r="AA15" s="25">
        <f>+('Agricultural production'!B19-'Agricultural production'!B14)/5</f>
        <v>-159740</v>
      </c>
      <c r="AB15" s="25">
        <v>-41346.355275759684</v>
      </c>
      <c r="AC15" s="25">
        <f>+W15*'Agricultural production'!Z14*300*1.5+46*'Agricultural production'!Z14*resteconomy!X15+resteconomy!Y15*100</f>
        <v>-146066.10565642468</v>
      </c>
      <c r="AD15" s="25">
        <f t="shared" si="6"/>
        <v>-188.56790887725563</v>
      </c>
      <c r="AE15" s="25">
        <f>+(AD15)+'Agricultural production'!AJ16</f>
        <v>284.1560613319366</v>
      </c>
    </row>
    <row r="16" spans="1:31" ht="15" x14ac:dyDescent="0.25">
      <c r="A16">
        <f t="shared" si="5"/>
        <v>1714</v>
      </c>
      <c r="B16" s="24">
        <f>+Population!AN17</f>
        <v>0.16091416796910102</v>
      </c>
      <c r="C16" s="25">
        <f>+Population!X17*Population!Z17*resteconomy!B16</f>
        <v>647.65899637773805</v>
      </c>
      <c r="D16" s="25">
        <v>57.748213506408661</v>
      </c>
      <c r="E16" s="25">
        <f t="shared" si="0"/>
        <v>146567.13518401684</v>
      </c>
      <c r="F16" s="50">
        <v>74</v>
      </c>
      <c r="G16" s="25">
        <f t="shared" si="1"/>
        <v>38011.881927752926</v>
      </c>
      <c r="H16" s="25">
        <f>+('Livestock in possession'!R16+'Livestock in possession'!T16/2)*'Agricultural production'!Z17*0.1</f>
        <v>18595.338626645254</v>
      </c>
      <c r="I16" s="25">
        <f>+'Agricultural production'!Q17*'Agricultural production'!AE17*0.2</f>
        <v>19416.543301107675</v>
      </c>
      <c r="K16" s="25">
        <f>+O16*'Agricultural production'!C17</f>
        <v>43041.519643423555</v>
      </c>
      <c r="M16" s="25">
        <f t="shared" si="2"/>
        <v>2701.6684785450548</v>
      </c>
      <c r="N16" s="25">
        <f>+'Gross receipts from VOC sales'!B18*0.2</f>
        <v>4493.1536679536684</v>
      </c>
      <c r="O16" s="25">
        <v>26.618132123329346</v>
      </c>
      <c r="P16" s="25"/>
      <c r="Q16" s="25">
        <f t="shared" si="3"/>
        <v>234815.35890169206</v>
      </c>
      <c r="R16" s="25">
        <f>+Q16/(Population!AN17*Population!X17)</f>
        <v>280.26634398213469</v>
      </c>
      <c r="S16" s="25"/>
      <c r="T16" s="79">
        <v>85.767253287144598</v>
      </c>
      <c r="U16" s="76">
        <v>63</v>
      </c>
      <c r="V16" s="25">
        <f t="shared" si="4"/>
        <v>116774.82135064088</v>
      </c>
      <c r="W16" s="25">
        <f>+('Livestock in possession'!I19-'Livestock in possession'!I14)/5</f>
        <v>-383.00219106668885</v>
      </c>
      <c r="X16" s="25">
        <f>+('Livestock in possession'!J19-'Livestock in possession'!J14)/5</f>
        <v>-13060.799316967959</v>
      </c>
      <c r="Y16" s="25">
        <f>+('Livestock in possession'!B19-'Livestock in possession'!B14)*'Livestock in possession'!F16/5</f>
        <v>20.351904087824316</v>
      </c>
      <c r="Z16" s="25">
        <f>+('Agricultural production'!H20-'Agricultural production'!H15+'Agricultural production'!J20-'Agricultural production'!J15+'Agricultural production'!L20-'Agricultural production'!L15)*'Agricultural production'!W17*2*'Agricultural production'!AE17/5</f>
        <v>-108.28999999999996</v>
      </c>
      <c r="AA16" s="25">
        <f>+('Agricultural production'!B20-'Agricultural production'!B15)/5</f>
        <v>-31080</v>
      </c>
      <c r="AB16" s="25">
        <v>-7918.6539649006208</v>
      </c>
      <c r="AC16" s="25">
        <f>+W16*'Agricultural production'!Z15*300*1.5+46*'Agricultural production'!Z15*resteconomy!X16+resteconomy!Y16*100</f>
        <v>-113614.82787756444</v>
      </c>
      <c r="AD16" s="25">
        <f t="shared" si="6"/>
        <v>-121.64177184246505</v>
      </c>
      <c r="AE16" s="25">
        <f>+(AD16)+'Agricultural production'!AJ17</f>
        <v>364.78924834349266</v>
      </c>
    </row>
    <row r="17" spans="1:31" ht="15" x14ac:dyDescent="0.25">
      <c r="A17">
        <f t="shared" si="5"/>
        <v>1715</v>
      </c>
      <c r="B17" s="24">
        <f>+Population!AN18</f>
        <v>0.17655576271902809</v>
      </c>
      <c r="C17" s="25">
        <f>+Population!X18*Population!Z18*resteconomy!B17</f>
        <v>800.67540495717435</v>
      </c>
      <c r="D17" s="25">
        <v>145.08711379424517</v>
      </c>
      <c r="E17" s="25">
        <f t="shared" si="0"/>
        <v>114339.78000745454</v>
      </c>
      <c r="F17" s="50">
        <v>42</v>
      </c>
      <c r="G17" s="25">
        <f t="shared" si="1"/>
        <v>40852.045217931984</v>
      </c>
      <c r="H17" s="25">
        <f>+('Livestock in possession'!R17+'Livestock in possession'!T17/2)*'Agricultural production'!Z18*0.1</f>
        <v>19637.559026097115</v>
      </c>
      <c r="I17" s="25">
        <f>+'Agricultural production'!Q18*'Agricultural production'!AE18*0.2</f>
        <v>21214.486191834869</v>
      </c>
      <c r="K17" s="25">
        <f>+O17*'Agricultural production'!C18</f>
        <v>48241.992348644235</v>
      </c>
      <c r="M17" s="25">
        <f t="shared" si="2"/>
        <v>926.7151171193359</v>
      </c>
      <c r="N17" s="25">
        <f>+'Gross receipts from VOC sales'!B19*0.2</f>
        <v>9521.0455598455592</v>
      </c>
      <c r="O17" s="25">
        <v>35.801107494355648</v>
      </c>
      <c r="P17" s="25"/>
      <c r="Q17" s="25">
        <f t="shared" si="3"/>
        <v>213881.57825099566</v>
      </c>
      <c r="R17" s="25">
        <f>+Q17/(Population!AN18*Population!X18)</f>
        <v>210.19557111353504</v>
      </c>
      <c r="S17" s="25"/>
      <c r="T17" s="79">
        <v>63.911387387540408</v>
      </c>
      <c r="U17" s="76">
        <v>29</v>
      </c>
      <c r="V17" s="25">
        <f t="shared" si="4"/>
        <v>77508.711379424523</v>
      </c>
      <c r="W17" s="25">
        <f>+('Livestock in possession'!I20-'Livestock in possession'!I15)/5</f>
        <v>83.159027792754202</v>
      </c>
      <c r="X17" s="25">
        <f>+('Livestock in possession'!J20-'Livestock in possession'!J15)/5</f>
        <v>-11131.469906448378</v>
      </c>
      <c r="Y17" s="25">
        <f>+('Livestock in possession'!B20-'Livestock in possession'!B15)*'Livestock in possession'!F17/5</f>
        <v>79.050637603985493</v>
      </c>
      <c r="Z17" s="25">
        <f>+('Agricultural production'!H21-'Agricultural production'!H16+'Agricultural production'!J21-'Agricultural production'!J16+'Agricultural production'!L21-'Agricultural production'!L16)*'Agricultural production'!W18*2*'Agricultural production'!AE18/5</f>
        <v>-45.4815498528516</v>
      </c>
      <c r="AA17" s="25">
        <f>+('Agricultural production'!B21-'Agricultural production'!B16)/5</f>
        <v>-87480</v>
      </c>
      <c r="AB17" s="25">
        <v>-21610.714727437422</v>
      </c>
      <c r="AC17" s="25">
        <f>+W17*'Agricultural production'!Z16*300*1.5+46*'Agricultural production'!Z16*resteconomy!X17+resteconomy!Y17*100</f>
        <v>-63091.083362588572</v>
      </c>
      <c r="AD17" s="25">
        <f t="shared" si="6"/>
        <v>-84.74727963987884</v>
      </c>
      <c r="AE17" s="25">
        <f>+(AD17)+'Agricultural production'!AJ18</f>
        <v>367.90190109883758</v>
      </c>
    </row>
    <row r="18" spans="1:31" ht="15" x14ac:dyDescent="0.25">
      <c r="A18">
        <f t="shared" si="5"/>
        <v>1716</v>
      </c>
      <c r="B18" s="24">
        <f>+Population!AN19</f>
        <v>0.18265859924488623</v>
      </c>
      <c r="C18" s="25">
        <f>+Population!X19*Population!Z19*resteconomy!B18</f>
        <v>872.68989008662663</v>
      </c>
      <c r="D18" s="25">
        <v>72.69671618045254</v>
      </c>
      <c r="E18" s="25">
        <f t="shared" si="0"/>
        <v>123913.40656203008</v>
      </c>
      <c r="F18" s="50">
        <v>51</v>
      </c>
      <c r="G18" s="25">
        <f t="shared" si="1"/>
        <v>39202.627235517793</v>
      </c>
      <c r="H18" s="25">
        <f>+('Livestock in possession'!R18+'Livestock in possession'!T18/2)*'Agricultural production'!Z19*0.1</f>
        <v>17286.529950927707</v>
      </c>
      <c r="I18" s="25">
        <f>+'Agricultural production'!Q19*'Agricultural production'!AE19*0.2</f>
        <v>21916.097284590091</v>
      </c>
      <c r="K18" s="25">
        <f>+O18*'Agricultural production'!C19</f>
        <v>50344.416276634263</v>
      </c>
      <c r="M18" s="25">
        <f t="shared" si="2"/>
        <v>666.74999999999977</v>
      </c>
      <c r="N18" s="25">
        <f>+'Gross receipts from VOC sales'!B20*0.2</f>
        <v>9014.7583011583029</v>
      </c>
      <c r="O18" s="25">
        <v>43.834929278741193</v>
      </c>
      <c r="P18" s="25"/>
      <c r="Q18" s="25">
        <f t="shared" si="3"/>
        <v>223141.95837534044</v>
      </c>
      <c r="R18" s="25">
        <f>+Q18/(Population!AN19*Population!X19)</f>
        <v>201.01859139613478</v>
      </c>
      <c r="S18" s="25"/>
      <c r="T18" s="78">
        <v>47.624999999999986</v>
      </c>
      <c r="U18" s="76">
        <v>28</v>
      </c>
      <c r="V18" s="25">
        <f t="shared" si="4"/>
        <v>83769.671618045249</v>
      </c>
      <c r="W18" s="25">
        <f>+('Livestock in possession'!I21-'Livestock in possession'!I16)/5</f>
        <v>500.31652564166143</v>
      </c>
      <c r="X18" s="25">
        <f>+('Livestock in possession'!J21-'Livestock in possession'!J16)/5</f>
        <v>-8929.0665300502478</v>
      </c>
      <c r="Y18" s="25">
        <f>+('Livestock in possession'!B21-'Livestock in possession'!B16)*'Livestock in possession'!F18/5</f>
        <v>-112.1</v>
      </c>
      <c r="Z18" s="25">
        <f>+('Agricultural production'!H22-'Agricultural production'!H17+'Agricultural production'!J22-'Agricultural production'!J17+'Agricultural production'!L22-'Agricultural production'!L17)*'Agricultural production'!W19*2*'Agricultural production'!AE19/5</f>
        <v>838.3719579338233</v>
      </c>
      <c r="AA18" s="25">
        <f>+('Agricultural production'!B22-'Agricultural production'!B17)/5</f>
        <v>12018</v>
      </c>
      <c r="AB18" s="25">
        <v>2859.8939167140638</v>
      </c>
      <c r="AC18" s="25">
        <f>+W18*'Agricultural production'!Z17*300*1.5+46*'Agricultural production'!Z17*resteconomy!X18+resteconomy!Y18*100</f>
        <v>-38971.862483266421</v>
      </c>
      <c r="AD18" s="25">
        <f t="shared" si="6"/>
        <v>-35.273596608618533</v>
      </c>
      <c r="AE18" s="25">
        <f>+(AD18)+'Agricultural production'!AJ19</f>
        <v>447.11356888045987</v>
      </c>
    </row>
    <row r="19" spans="1:31" ht="15" x14ac:dyDescent="0.25">
      <c r="A19">
        <f t="shared" si="5"/>
        <v>1717</v>
      </c>
      <c r="B19" s="24">
        <f>+Population!AN20</f>
        <v>0.1738088150273806</v>
      </c>
      <c r="C19" s="25">
        <f>+Population!X20*Population!Z20*resteconomy!B19</f>
        <v>841.64544826015174</v>
      </c>
      <c r="D19" s="25">
        <v>53.851659438320894</v>
      </c>
      <c r="E19" s="25">
        <f t="shared" si="0"/>
        <v>131100.85656379905</v>
      </c>
      <c r="F19" s="50">
        <v>58</v>
      </c>
      <c r="G19" s="25">
        <f t="shared" si="1"/>
        <v>42920.92994734415</v>
      </c>
      <c r="H19" s="25">
        <f>+('Livestock in possession'!R19+'Livestock in possession'!T19/2)*'Agricultural production'!Z20*0.1</f>
        <v>21073.910166964713</v>
      </c>
      <c r="I19" s="25">
        <f>+'Agricultural production'!Q20*'Agricultural production'!AE20*0.2</f>
        <v>21847.01978037944</v>
      </c>
      <c r="K19" s="25">
        <f>+O19*'Agricultural production'!C20</f>
        <v>56509.239690721479</v>
      </c>
      <c r="M19" s="25">
        <f t="shared" si="2"/>
        <v>2674.15094</v>
      </c>
      <c r="N19" s="25">
        <f>+'Gross receipts from VOC sales'!B21*0.2</f>
        <v>5793.85250965251</v>
      </c>
      <c r="O19" s="25">
        <v>50.863402061855517</v>
      </c>
      <c r="P19" s="25"/>
      <c r="Q19" s="25">
        <f t="shared" si="3"/>
        <v>238999.02965151719</v>
      </c>
      <c r="R19" s="25">
        <f>+Q19/(Population!AN20*Population!X20)</f>
        <v>221.94418809557979</v>
      </c>
      <c r="S19" s="25"/>
      <c r="T19" s="78">
        <v>87.677080000000004</v>
      </c>
      <c r="U19" s="76">
        <v>61</v>
      </c>
      <c r="V19" s="25">
        <f t="shared" si="4"/>
        <v>92385.165943832078</v>
      </c>
      <c r="W19" s="25">
        <f>+('Livestock in possession'!I22-'Livestock in possession'!I17)/5</f>
        <v>936.80630324232402</v>
      </c>
      <c r="X19" s="25">
        <f>+('Livestock in possession'!J22-'Livestock in possession'!J17)/5</f>
        <v>-2334.8221627466496</v>
      </c>
      <c r="Y19" s="25">
        <f>+('Livestock in possession'!B22-'Livestock in possession'!B17)*'Livestock in possession'!F19/5</f>
        <v>-148.46141496022835</v>
      </c>
      <c r="Z19" s="25">
        <f>+('Agricultural production'!H23-'Agricultural production'!H18+'Agricultural production'!J23-'Agricultural production'!J18+'Agricultural production'!L23-'Agricultural production'!L18)*'Agricultural production'!W20*2*'Agricultural production'!AE20/5</f>
        <v>624</v>
      </c>
      <c r="AA19" s="25">
        <f>+('Agricultural production'!B23-'Agricultural production'!B18)/5</f>
        <v>-127500</v>
      </c>
      <c r="AB19" s="25">
        <v>-29012.762080336979</v>
      </c>
      <c r="AC19" s="25">
        <f>+W19*'Agricultural production'!Z18*300*1.5+46*'Agricultural production'!Z18*resteconomy!X19+resteconomy!Y19*100</f>
        <v>25545.989257610025</v>
      </c>
      <c r="AD19" s="25">
        <f t="shared" si="6"/>
        <v>-2.8427728227269546</v>
      </c>
      <c r="AE19" s="25">
        <f>+(AD19)+'Agricultural production'!AJ20</f>
        <v>509.62842676005118</v>
      </c>
    </row>
    <row r="20" spans="1:31" ht="15" x14ac:dyDescent="0.25">
      <c r="A20">
        <f t="shared" si="5"/>
        <v>1718</v>
      </c>
      <c r="B20" s="24">
        <f>+Population!AN21</f>
        <v>0.17183801435339069</v>
      </c>
      <c r="C20" s="25">
        <f>+Population!X21*Population!Z21*resteconomy!B20</f>
        <v>851.28466001038805</v>
      </c>
      <c r="D20" s="25">
        <v>61.357487477835093</v>
      </c>
      <c r="E20" s="25">
        <f t="shared" si="0"/>
        <v>123294.84310826135</v>
      </c>
      <c r="F20" s="50">
        <v>52</v>
      </c>
      <c r="G20" s="25">
        <f t="shared" si="1"/>
        <v>52073.229995769732</v>
      </c>
      <c r="H20" s="25">
        <f>+('Livestock in possession'!R20+'Livestock in possession'!T20/2)*'Agricultural production'!Z21*0.1</f>
        <v>29604.346817243299</v>
      </c>
      <c r="I20" s="25">
        <f>+'Agricultural production'!Q21*'Agricultural production'!AE21*0.2</f>
        <v>22468.883178526434</v>
      </c>
      <c r="K20" s="25">
        <f>+O20*'Agricultural production'!C21</f>
        <v>55871.705097345104</v>
      </c>
      <c r="M20" s="25">
        <f t="shared" si="2"/>
        <v>2276.6414999999997</v>
      </c>
      <c r="N20" s="25">
        <f>+'Gross receipts from VOC sales'!B22*0.2</f>
        <v>24129.216988416989</v>
      </c>
      <c r="O20" s="25">
        <v>40.311475539210029</v>
      </c>
      <c r="P20" s="25"/>
      <c r="Q20" s="25">
        <f t="shared" si="3"/>
        <v>257645.63668979317</v>
      </c>
      <c r="R20" s="25">
        <f>+Q20/(Population!AN21*Population!X21)</f>
        <v>234.41359606814825</v>
      </c>
      <c r="S20" s="25"/>
      <c r="T20" s="78">
        <v>130.09379999999999</v>
      </c>
      <c r="U20" s="76">
        <v>35</v>
      </c>
      <c r="V20" s="25">
        <f t="shared" si="4"/>
        <v>84135.748747783509</v>
      </c>
      <c r="W20" s="25">
        <f>+('Livestock in possession'!I23-'Livestock in possession'!I18)/5</f>
        <v>665.1204302531703</v>
      </c>
      <c r="X20" s="25">
        <f>+('Livestock in possession'!J23-'Livestock in possession'!J18)/5</f>
        <v>3690.9051112005136</v>
      </c>
      <c r="Y20" s="25">
        <f>+('Livestock in possession'!B23-'Livestock in possession'!B18)*'Livestock in possession'!F20/5</f>
        <v>-210.00007893197068</v>
      </c>
      <c r="Z20" s="25">
        <f>+('Agricultural production'!H24-'Agricultural production'!H19+'Agricultural production'!J24-'Agricultural production'!J19+'Agricultural production'!L24-'Agricultural production'!L19)*'Agricultural production'!W21*2*'Agricultural production'!AE21/5</f>
        <v>943.28000000000009</v>
      </c>
      <c r="AA20" s="25">
        <f>+('Agricultural production'!B24-'Agricultural production'!B19)/5</f>
        <v>45900</v>
      </c>
      <c r="AB20" s="25">
        <v>10625.014176022261</v>
      </c>
      <c r="AC20" s="25">
        <f>+W20*'Agricultural production'!Z19*300*1.5+46*'Agricultural production'!Z19*resteconomy!X20+resteconomy!Y20*100</f>
        <v>39311.027229122279</v>
      </c>
      <c r="AD20" s="25">
        <f t="shared" si="6"/>
        <v>50.879321405144537</v>
      </c>
      <c r="AE20" s="25">
        <f>+(AD20)+'Agricultural production'!AJ21</f>
        <v>749.220822680212</v>
      </c>
    </row>
    <row r="21" spans="1:31" ht="15" x14ac:dyDescent="0.25">
      <c r="A21">
        <f t="shared" si="5"/>
        <v>1719</v>
      </c>
      <c r="B21" s="24">
        <f>+Population!AN22</f>
        <v>0.17227708419423315</v>
      </c>
      <c r="C21" s="25">
        <f>+Population!X22*Population!Z22*resteconomy!B21</f>
        <v>865.77411187734663</v>
      </c>
      <c r="D21" s="25">
        <v>25.180015462551637</v>
      </c>
      <c r="E21" s="25">
        <f t="shared" si="0"/>
        <v>69343.610692613118</v>
      </c>
      <c r="F21" s="50">
        <v>18</v>
      </c>
      <c r="G21" s="25">
        <f t="shared" si="1"/>
        <v>53685.810049968932</v>
      </c>
      <c r="H21" s="25">
        <f>+('Livestock in possession'!R21+'Livestock in possession'!T21/2)*'Agricultural production'!Z22*0.1</f>
        <v>30850.513491206599</v>
      </c>
      <c r="I21" s="25">
        <f>+'Agricultural production'!Q22*'Agricultural production'!AE22*0.2</f>
        <v>22835.296558762329</v>
      </c>
      <c r="K21" s="25">
        <f>+O21*'Agricultural production'!C22</f>
        <v>30359.759987113212</v>
      </c>
      <c r="M21" s="25">
        <f t="shared" si="2"/>
        <v>3789.3151849999999</v>
      </c>
      <c r="N21" s="25">
        <f>+'Gross receipts from VOC sales'!B23*0.2</f>
        <v>4645.2030888030886</v>
      </c>
      <c r="O21" s="25">
        <v>27.493556701030755</v>
      </c>
      <c r="P21" s="25"/>
      <c r="Q21" s="25">
        <f t="shared" si="3"/>
        <v>161823.69900349836</v>
      </c>
      <c r="R21" s="25">
        <f>+Q21/(Population!AN22*Population!X22)</f>
        <v>144.34429424267526</v>
      </c>
      <c r="S21" s="25"/>
      <c r="T21" s="78">
        <v>95.932029999999997</v>
      </c>
      <c r="U21" s="76">
        <v>79</v>
      </c>
      <c r="V21" s="25">
        <f t="shared" si="4"/>
        <v>29518.001546255167</v>
      </c>
      <c r="W21" s="25">
        <f>+('Livestock in possession'!I24-'Livestock in possession'!I19)/5</f>
        <v>461.22586995946619</v>
      </c>
      <c r="X21" s="25">
        <f>+('Livestock in possession'!J24-'Livestock in possession'!J19)/5</f>
        <v>7438.2447736258737</v>
      </c>
      <c r="Y21" s="25">
        <f>+('Livestock in possession'!B24-'Livestock in possession'!B19)*'Livestock in possession'!F21/5</f>
        <v>-198.59200000000004</v>
      </c>
      <c r="Z21" s="25">
        <f>+('Agricultural production'!H25-'Agricultural production'!H20+'Agricultural production'!J25-'Agricultural production'!J20+'Agricultural production'!L25-'Agricultural production'!L20)*'Agricultural production'!W22*2*'Agricultural production'!AE22/5</f>
        <v>-70.72</v>
      </c>
      <c r="AA21" s="25">
        <f>+('Agricultural production'!B25-'Agricultural production'!B20)/5</f>
        <v>-14280</v>
      </c>
      <c r="AB21" s="25">
        <v>-3447.6057743233787</v>
      </c>
      <c r="AC21" s="25">
        <f>+W21*'Agricultural production'!Z20*300*1.5+46*'Agricultural production'!Z20*resteconomy!X21+resteconomy!Y21*100</f>
        <v>50817.915851670732</v>
      </c>
      <c r="AD21" s="25">
        <f t="shared" si="6"/>
        <v>47.299590077347354</v>
      </c>
      <c r="AE21" s="25">
        <f>+(AD21)+'Agricultural production'!AJ22</f>
        <v>750.4675661827132</v>
      </c>
    </row>
    <row r="22" spans="1:31" ht="15" x14ac:dyDescent="0.25">
      <c r="A22">
        <f t="shared" si="5"/>
        <v>1720</v>
      </c>
      <c r="B22" s="24">
        <f>+Population!AN23</f>
        <v>0.17555391876302059</v>
      </c>
      <c r="C22" s="25">
        <f>+Population!X23*Population!Z23*resteconomy!B22</f>
        <v>877.29431567254619</v>
      </c>
      <c r="D22" s="25">
        <v>34.63857303770601</v>
      </c>
      <c r="E22" s="25">
        <f t="shared" si="0"/>
        <v>102319.39582470772</v>
      </c>
      <c r="F22" s="50">
        <v>39</v>
      </c>
      <c r="G22" s="25">
        <f t="shared" si="1"/>
        <v>53367.027243979152</v>
      </c>
      <c r="H22" s="25">
        <f>+('Livestock in possession'!R22+'Livestock in possession'!T22/2)*'Agricultural production'!Z23*0.1</f>
        <v>30617.909572070756</v>
      </c>
      <c r="I22" s="25">
        <f>+'Agricultural production'!Q23*'Agricultural production'!AE23*0.2</f>
        <v>22749.117671908396</v>
      </c>
      <c r="K22" s="25">
        <f>+O22*'Agricultural production'!C23</f>
        <v>16514.0625</v>
      </c>
      <c r="M22" s="25">
        <f t="shared" si="2"/>
        <v>3464.38085</v>
      </c>
      <c r="N22" s="25">
        <f>+'Gross receipts from VOC sales'!B24*0.2</f>
        <v>4977.8694980694981</v>
      </c>
      <c r="O22" s="25">
        <v>24.375</v>
      </c>
      <c r="P22" s="25"/>
      <c r="Q22" s="25">
        <f t="shared" si="3"/>
        <v>180642.73591675636</v>
      </c>
      <c r="R22" s="25">
        <f>+Q22/(Population!AN23*Population!X23)</f>
        <v>158.45151791642928</v>
      </c>
      <c r="S22" s="25"/>
      <c r="T22" s="78">
        <v>141.4033</v>
      </c>
      <c r="U22" s="76">
        <v>49</v>
      </c>
      <c r="V22" s="25">
        <f t="shared" si="4"/>
        <v>61963.857303770601</v>
      </c>
      <c r="W22" s="25">
        <f>+('Livestock in possession'!I25-'Livestock in possession'!I20)/5</f>
        <v>1620.6973669892373</v>
      </c>
      <c r="X22" s="25">
        <f>+('Livestock in possession'!J25-'Livestock in possession'!J20)/5</f>
        <v>15412.220491112364</v>
      </c>
      <c r="Y22" s="25">
        <f>+('Livestock in possession'!B25-'Livestock in possession'!B20)*'Livestock in possession'!F22/5</f>
        <v>-177.57666189834598</v>
      </c>
      <c r="Z22" s="25">
        <f>+('Agricultural production'!H26-'Agricultural production'!H21+'Agricultural production'!J26-'Agricultural production'!J21+'Agricultural production'!L26-'Agricultural production'!L21)*'Agricultural production'!W23*2*'Agricultural production'!AE23/5</f>
        <v>1241.76</v>
      </c>
      <c r="AA22" s="25">
        <f>+('Agricultural production'!B26-'Agricultural production'!B21)/5</f>
        <v>23020</v>
      </c>
      <c r="AB22" s="25">
        <v>6178.5425202382539</v>
      </c>
      <c r="AC22" s="25">
        <f>+W22*'Agricultural production'!Z21*300*1.5+46*'Agricultural production'!Z21*resteconomy!X22+resteconomy!Y22*100</f>
        <v>244556.47276874288</v>
      </c>
      <c r="AD22" s="25">
        <f t="shared" si="6"/>
        <v>251.97677528898114</v>
      </c>
      <c r="AE22" s="25">
        <f>+(AD22)+'Agricultural production'!AJ23</f>
        <v>1114.7399714778701</v>
      </c>
    </row>
    <row r="23" spans="1:31" ht="15" x14ac:dyDescent="0.25">
      <c r="A23">
        <f t="shared" si="5"/>
        <v>1721</v>
      </c>
      <c r="B23" s="24">
        <f>+Population!AN24</f>
        <v>0.18040267049287723</v>
      </c>
      <c r="C23" s="25">
        <f>+Population!X24*Population!Z24*resteconomy!B23</f>
        <v>925.10073901855526</v>
      </c>
      <c r="D23" s="25">
        <v>104.50716576023183</v>
      </c>
      <c r="E23" s="25">
        <f t="shared" si="0"/>
        <v>87505.350570876733</v>
      </c>
      <c r="F23" s="50">
        <v>23</v>
      </c>
      <c r="G23" s="25">
        <f t="shared" si="1"/>
        <v>57981.178030596457</v>
      </c>
      <c r="H23" s="25">
        <f>+('Livestock in possession'!R23+'Livestock in possession'!T23/2)*'Agricultural production'!Z24*0.1</f>
        <v>34539.747749612819</v>
      </c>
      <c r="I23" s="25">
        <f>+'Agricultural production'!Q24*'Agricultural production'!AE24*0.2</f>
        <v>23441.430280983637</v>
      </c>
      <c r="K23" s="25">
        <f>+O23*'Agricultural production'!C24</f>
        <v>48602.222938144281</v>
      </c>
      <c r="M23" s="25">
        <f t="shared" si="2"/>
        <v>3851.5954499999998</v>
      </c>
      <c r="N23" s="25">
        <f>+'Gross receipts from VOC sales'!B25*0.2</f>
        <v>2556.9722007722012</v>
      </c>
      <c r="O23" s="25">
        <v>41.275773195876248</v>
      </c>
      <c r="P23" s="25"/>
      <c r="Q23" s="25">
        <f t="shared" si="3"/>
        <v>200497.31919038965</v>
      </c>
      <c r="R23" s="25">
        <f>+Q23/(Population!AN24*Population!X24)</f>
        <v>165.50058609406753</v>
      </c>
      <c r="S23" s="25"/>
      <c r="T23" s="78">
        <v>135.1437</v>
      </c>
      <c r="U23" s="76">
        <v>57</v>
      </c>
      <c r="V23" s="25">
        <f t="shared" si="4"/>
        <v>44950.716576023187</v>
      </c>
      <c r="W23" s="25">
        <f>+('Livestock in possession'!I26-'Livestock in possession'!I21)/5</f>
        <v>924.47310639591308</v>
      </c>
      <c r="X23" s="25">
        <f>+('Livestock in possession'!J26-'Livestock in possession'!J21)/5</f>
        <v>12815.02353615257</v>
      </c>
      <c r="Y23" s="25">
        <f>+('Livestock in possession'!B26-'Livestock in possession'!B21)*'Livestock in possession'!F23/5</f>
        <v>68.777401084949432</v>
      </c>
      <c r="Z23" s="25">
        <f>+('Agricultural production'!H27-'Agricultural production'!H22+'Agricultural production'!J27-'Agricultural production'!J22+'Agricultural production'!L27-'Agricultural production'!L22)*'Agricultural production'!W24*2*'Agricultural production'!AE24/5</f>
        <v>336.96</v>
      </c>
      <c r="AA23" s="25">
        <f>+('Agricultural production'!B27-'Agricultural production'!B22)/5</f>
        <v>1430</v>
      </c>
      <c r="AB23" s="25">
        <v>366.67041184906299</v>
      </c>
      <c r="AC23" s="25">
        <f>+W23*'Agricultural production'!Z22*300*1.5+46*'Agricultural production'!Z22*resteconomy!X23+resteconomy!Y23*100</f>
        <v>190262.51370243379</v>
      </c>
      <c r="AD23" s="25">
        <f t="shared" si="6"/>
        <v>190.96614411428286</v>
      </c>
      <c r="AE23" s="25">
        <f>+(AD23)+'Agricultural production'!AJ24</f>
        <v>1038.7516962621153</v>
      </c>
    </row>
    <row r="24" spans="1:31" ht="15" x14ac:dyDescent="0.25">
      <c r="A24">
        <f t="shared" si="5"/>
        <v>1722</v>
      </c>
      <c r="B24" s="24">
        <f>+Population!AN25</f>
        <v>0.18373569908070853</v>
      </c>
      <c r="C24" s="25">
        <f>+Population!X25*Population!Z25*resteconomy!B24</f>
        <v>1013.1557075078839</v>
      </c>
      <c r="D24" s="25">
        <v>135.24875446865599</v>
      </c>
      <c r="E24" s="25">
        <f t="shared" si="0"/>
        <v>112630.03799222826</v>
      </c>
      <c r="F24" s="50">
        <v>35</v>
      </c>
      <c r="G24" s="25">
        <f t="shared" si="1"/>
        <v>58564.560631733882</v>
      </c>
      <c r="H24" s="25">
        <f>+('Livestock in possession'!R24+'Livestock in possession'!T24/2)*'Agricultural production'!Z25*0.1</f>
        <v>33570.623882934546</v>
      </c>
      <c r="I24" s="25">
        <f>+'Agricultural production'!Q25*'Agricultural production'!AE25*0.2</f>
        <v>24993.936748799337</v>
      </c>
      <c r="K24" s="25">
        <f>+O24*'Agricultural production'!C25</f>
        <v>25247.229381443347</v>
      </c>
      <c r="M24" s="25">
        <f t="shared" si="2"/>
        <v>2846.5387500000002</v>
      </c>
      <c r="N24" s="32">
        <v>6000</v>
      </c>
      <c r="O24" s="25">
        <v>25.09664948453613</v>
      </c>
      <c r="P24" s="25"/>
      <c r="Q24" s="25">
        <f t="shared" si="3"/>
        <v>205288.3667554055</v>
      </c>
      <c r="R24" s="25">
        <f>+Q24/(Population!AN25*Population!X25)</f>
        <v>156.97642513141221</v>
      </c>
      <c r="S24" s="25"/>
      <c r="T24" s="78">
        <v>172.51750000000001</v>
      </c>
      <c r="U24" s="76">
        <v>33</v>
      </c>
      <c r="V24" s="25">
        <f t="shared" si="4"/>
        <v>66024.875446865597</v>
      </c>
      <c r="W24" s="25">
        <f>+('Livestock in possession'!I27-'Livestock in possession'!I22)/5</f>
        <v>1373.6640637341648</v>
      </c>
      <c r="X24" s="25">
        <f>+('Livestock in possession'!J27-'Livestock in possession'!J22)/5</f>
        <v>12077.020146210931</v>
      </c>
      <c r="Y24" s="25">
        <f>+('Livestock in possession'!B27-'Livestock in possession'!B22)*'Livestock in possession'!F24/5</f>
        <v>225.34074068194167</v>
      </c>
      <c r="Z24" s="25">
        <f>+('Agricultural production'!H28-'Agricultural production'!H23+'Agricultural production'!J28-'Agricultural production'!J23+'Agricultural production'!L28-'Agricultural production'!L23)*'Agricultural production'!W25*2*'Agricultural production'!AE25/5</f>
        <v>736.31999999999994</v>
      </c>
      <c r="AA24" s="25">
        <f>+('Agricultural production'!B28-'Agricultural production'!B23)/5</f>
        <v>32440</v>
      </c>
      <c r="AB24" s="25">
        <v>8018.3979515859073</v>
      </c>
      <c r="AC24" s="25">
        <f>+W24*'Agricultural production'!Z23*300*1.5+46*'Agricultural production'!Z23*resteconomy!X24+resteconomy!Y24*100</f>
        <v>236593.09422082631</v>
      </c>
      <c r="AD24" s="25">
        <f t="shared" si="6"/>
        <v>245.34781217241223</v>
      </c>
      <c r="AE24" s="25">
        <f>+(AD24)+'Agricultural production'!AJ25</f>
        <v>1222.9537232545701</v>
      </c>
    </row>
    <row r="25" spans="1:31" ht="15" x14ac:dyDescent="0.25">
      <c r="A25">
        <f t="shared" si="5"/>
        <v>1723</v>
      </c>
      <c r="B25" s="24">
        <f>+Population!AN26</f>
        <v>0.1956003690779208</v>
      </c>
      <c r="C25" s="25">
        <f>+Population!X26*Population!Z26*resteconomy!B25</f>
        <v>1137.2925076487468</v>
      </c>
      <c r="D25" s="25">
        <v>128.17151449703397</v>
      </c>
      <c r="E25" s="25">
        <f t="shared" si="0"/>
        <v>120632.60680154576</v>
      </c>
      <c r="F25" s="50">
        <v>37</v>
      </c>
      <c r="G25" s="25">
        <f t="shared" si="1"/>
        <v>57376.879575825646</v>
      </c>
      <c r="H25" s="25">
        <f>+('Livestock in possession'!R25+'Livestock in possession'!T25/2)*'Agricultural production'!Z26*0.1</f>
        <v>30994.139091129822</v>
      </c>
      <c r="I25" s="25">
        <f>+'Agricultural production'!Q26*'Agricultural production'!AE26*0.2</f>
        <v>26382.74048469582</v>
      </c>
      <c r="K25" s="25">
        <f>+O25*'Agricultural production'!C26</f>
        <v>45177.798002577081</v>
      </c>
      <c r="M25" s="25">
        <f t="shared" si="2"/>
        <v>3484.3525</v>
      </c>
      <c r="N25" s="25">
        <f>+'Gross receipts from VOC sales'!B27*0.2</f>
        <v>10969.712741312742</v>
      </c>
      <c r="O25" s="25">
        <v>27.793170103092635</v>
      </c>
      <c r="P25" s="25"/>
      <c r="Q25" s="25">
        <f t="shared" si="3"/>
        <v>237641.34962126124</v>
      </c>
      <c r="R25" s="25">
        <f>+Q25/(Population!AN26*Population!X26)</f>
        <v>161.53245896164384</v>
      </c>
      <c r="S25" s="25"/>
      <c r="T25" s="78">
        <v>139.3741</v>
      </c>
      <c r="U25" s="76">
        <v>50</v>
      </c>
      <c r="V25" s="25">
        <f t="shared" si="4"/>
        <v>68317.151449703408</v>
      </c>
      <c r="W25" s="25">
        <f>+('Livestock in possession'!I28-'Livestock in possession'!I23)/5</f>
        <v>1224.0853248258536</v>
      </c>
      <c r="X25" s="25">
        <f>+('Livestock in possession'!J28-'Livestock in possession'!J23)/5</f>
        <v>9832.0372184849948</v>
      </c>
      <c r="Y25" s="25">
        <f>+('Livestock in possession'!B28-'Livestock in possession'!B23)*'Livestock in possession'!F25/5</f>
        <v>220.98000000000002</v>
      </c>
      <c r="Z25" s="25">
        <f>+('Agricultural production'!H29-'Agricultural production'!H24+'Agricultural production'!J29-'Agricultural production'!J24+'Agricultural production'!L29-'Agricultural production'!L24)*'Agricultural production'!W26*2*'Agricultural production'!AE26/5</f>
        <v>619.84</v>
      </c>
      <c r="AA25" s="25">
        <f>+('Agricultural production'!B29-'Agricultural production'!B24)/5</f>
        <v>-7900</v>
      </c>
      <c r="AB25" s="25">
        <v>-1954.964299508111</v>
      </c>
      <c r="AC25" s="25">
        <f>+W25*'Agricultural production'!Z24*300*1.5+46*'Agricultural production'!Z24*resteconomy!X25+resteconomy!Y25*100</f>
        <v>205046.54164238309</v>
      </c>
      <c r="AD25" s="25">
        <f t="shared" si="6"/>
        <v>203.71141734287497</v>
      </c>
      <c r="AE25" s="25">
        <f>+(AD25)+'Agricultural production'!AJ26</f>
        <v>1233.3277732653735</v>
      </c>
    </row>
    <row r="26" spans="1:31" ht="15" x14ac:dyDescent="0.25">
      <c r="A26">
        <f t="shared" si="5"/>
        <v>1724</v>
      </c>
      <c r="B26" s="24">
        <f>+Population!AN27</f>
        <v>0.20328701478085762</v>
      </c>
      <c r="C26" s="25">
        <f>+Population!X27*Population!Z27*resteconomy!B26</f>
        <v>1274.6619761244174</v>
      </c>
      <c r="D26" s="25">
        <v>104.29068065511046</v>
      </c>
      <c r="E26" s="25">
        <f t="shared" si="0"/>
        <v>154563.51896723424</v>
      </c>
      <c r="F26" s="50">
        <v>57</v>
      </c>
      <c r="G26" s="25">
        <f t="shared" si="1"/>
        <v>52023.391819299766</v>
      </c>
      <c r="H26" s="25">
        <f>+('Livestock in possession'!R26+'Livestock in possession'!T26/2)*'Agricultural production'!Z27*0.1</f>
        <v>23701.031601876886</v>
      </c>
      <c r="I26" s="25">
        <f>+'Agricultural production'!Q27*'Agricultural production'!AE27*0.2</f>
        <v>28322.360217422884</v>
      </c>
      <c r="K26" s="25">
        <f>+O26*'Agricultural production'!C27</f>
        <v>62027.855186855479</v>
      </c>
      <c r="M26" s="25">
        <f t="shared" si="2"/>
        <v>4371.7114000000001</v>
      </c>
      <c r="N26" s="25">
        <f>+'Gross receipts from VOC sales'!B28*0.2</f>
        <v>19102.724324324325</v>
      </c>
      <c r="O26" s="25">
        <v>56.556056701030755</v>
      </c>
      <c r="P26" s="25"/>
      <c r="Q26" s="25">
        <f t="shared" si="3"/>
        <v>292089.20169771381</v>
      </c>
      <c r="R26" s="25">
        <f>+Q26/(Population!AN27*Population!X27)</f>
        <v>178.4776028974417</v>
      </c>
      <c r="S26" s="25"/>
      <c r="T26" s="78">
        <v>123.1468</v>
      </c>
      <c r="U26" s="76">
        <v>71</v>
      </c>
      <c r="V26" s="25">
        <f t="shared" si="4"/>
        <v>95929.068065511034</v>
      </c>
      <c r="W26" s="25">
        <f>+('Livestock in possession'!I29-'Livestock in possession'!I24)/5</f>
        <v>1709.0749732871075</v>
      </c>
      <c r="X26" s="25">
        <f>+('Livestock in possession'!J29-'Livestock in possession'!J24)/5</f>
        <v>9349.5502435054168</v>
      </c>
      <c r="Y26" s="25">
        <f>+('Livestock in possession'!B29-'Livestock in possession'!B24)*'Livestock in possession'!F26/5</f>
        <v>247.8273441691093</v>
      </c>
      <c r="Z26" s="25">
        <f>+('Agricultural production'!H30-'Agricultural production'!H25+'Agricultural production'!J30-'Agricultural production'!J25+'Agricultural production'!L30-'Agricultural production'!L25)*'Agricultural production'!W27*2*'Agricultural production'!AE27/5</f>
        <v>2292.1600000000003</v>
      </c>
      <c r="AA26" s="25">
        <f>+('Agricultural production'!B30-'Agricultural production'!B25)/5</f>
        <v>9260</v>
      </c>
      <c r="AB26" s="25">
        <v>2369.0018840872458</v>
      </c>
      <c r="AC26" s="25">
        <f>+W26*'Agricultural production'!Z25*300*1.5+46*'Agricultural production'!Z25*resteconomy!X26+resteconomy!Y26*100</f>
        <v>243487.23338648779</v>
      </c>
      <c r="AD26" s="25">
        <f t="shared" si="6"/>
        <v>248.14839527057504</v>
      </c>
      <c r="AE26" s="25">
        <f>+(AD26)+'Agricultural production'!AJ27</f>
        <v>1118.1451499732555</v>
      </c>
    </row>
    <row r="27" spans="1:31" ht="15" x14ac:dyDescent="0.25">
      <c r="A27">
        <f t="shared" si="5"/>
        <v>1725</v>
      </c>
      <c r="B27" s="24">
        <f>+Population!AN28</f>
        <v>0.21903728189645041</v>
      </c>
      <c r="C27" s="25">
        <f>+Population!X28*Population!Z28*resteconomy!B27</f>
        <v>1406.3505201142284</v>
      </c>
      <c r="D27" s="25">
        <v>110.45810200481901</v>
      </c>
      <c r="E27" s="25">
        <f t="shared" si="0"/>
        <v>120737.93412573641</v>
      </c>
      <c r="F27" s="50">
        <v>30</v>
      </c>
      <c r="G27" s="25">
        <f t="shared" si="1"/>
        <v>50647.937318970609</v>
      </c>
      <c r="H27" s="25">
        <f>+('Livestock in possession'!R27+'Livestock in possession'!T27/2)*'Agricultural production'!Z28*0.1</f>
        <v>21503.870487969922</v>
      </c>
      <c r="I27" s="25">
        <f>+'Agricultural production'!Q28*'Agricultural production'!AE28*0.2</f>
        <v>29144.066831000691</v>
      </c>
      <c r="K27" s="25">
        <f>+O27*'Agricultural production'!C28</f>
        <v>57606.417973275216</v>
      </c>
      <c r="M27" s="25">
        <f t="shared" si="2"/>
        <v>1953.65625</v>
      </c>
      <c r="N27" s="25">
        <f>+'Gross receipts from VOC sales'!B29*0.2</f>
        <v>18790.230115830116</v>
      </c>
      <c r="O27" s="25">
        <v>50.844146490092868</v>
      </c>
      <c r="P27" s="25"/>
      <c r="Q27" s="25">
        <f t="shared" si="3"/>
        <v>249736.17578381236</v>
      </c>
      <c r="R27" s="25">
        <f>+Q27/(Population!AN28*Population!X28)</f>
        <v>137.05689013678111</v>
      </c>
      <c r="S27" s="25"/>
      <c r="T27" s="78">
        <v>100.1875</v>
      </c>
      <c r="U27" s="76">
        <v>39</v>
      </c>
      <c r="V27" s="25">
        <f t="shared" si="4"/>
        <v>56045.810200481908</v>
      </c>
      <c r="W27" s="25">
        <f>+('Livestock in possession'!I30-'Livestock in possession'!I25)/5</f>
        <v>578.80919952592956</v>
      </c>
      <c r="X27" s="25">
        <f>+('Livestock in possession'!J30-'Livestock in possession'!J25)/5</f>
        <v>772.1664399736153</v>
      </c>
      <c r="Y27" s="25">
        <f>+('Livestock in possession'!B30-'Livestock in possession'!B25)*'Livestock in possession'!F27/5</f>
        <v>220.04603986162519</v>
      </c>
      <c r="Z27" s="25">
        <f>+('Agricultural production'!H31-'Agricultural production'!H26+'Agricultural production'!J31-'Agricultural production'!J26+'Agricultural production'!L31-'Agricultural production'!L26)*'Agricultural production'!W28*2*'Agricultural production'!AE28/5</f>
        <v>2337.92</v>
      </c>
      <c r="AA27" s="25">
        <f>+('Agricultural production'!B31-'Agricultural production'!B26)/5</f>
        <v>-41940</v>
      </c>
      <c r="AB27" s="25">
        <v>-10764.402481098057</v>
      </c>
      <c r="AC27" s="25">
        <f>+W27*'Agricultural production'!Z26*300*1.5+46*'Agricultural production'!Z26*resteconomy!X27+resteconomy!Y27*100</f>
        <v>72427.557809070335</v>
      </c>
      <c r="AD27" s="25">
        <f t="shared" si="6"/>
        <v>64.001075327972273</v>
      </c>
      <c r="AE27" s="25">
        <f>+(AD27)+'Agricultural production'!AJ28</f>
        <v>773.75718740449224</v>
      </c>
    </row>
    <row r="28" spans="1:31" ht="15" x14ac:dyDescent="0.25">
      <c r="A28">
        <f t="shared" si="5"/>
        <v>1726</v>
      </c>
      <c r="B28" s="24">
        <f>+Population!AN29</f>
        <v>0.21548725177631203</v>
      </c>
      <c r="C28" s="25">
        <f>+Population!X29*Population!Z29*resteconomy!B28</f>
        <v>1450.027926674582</v>
      </c>
      <c r="D28" s="25">
        <v>127.28282785560236</v>
      </c>
      <c r="E28" s="25">
        <f t="shared" si="0"/>
        <v>154429.56741259102</v>
      </c>
      <c r="F28" s="50">
        <v>50</v>
      </c>
      <c r="G28" s="25">
        <f t="shared" si="1"/>
        <v>53760.949665300817</v>
      </c>
      <c r="H28" s="25">
        <f>+('Livestock in possession'!R28+'Livestock in possession'!T28/2)*'Agricultural production'!Z29*0.1</f>
        <v>23279.36322504047</v>
      </c>
      <c r="I28" s="25">
        <f>+'Agricultural production'!Q29*'Agricultural production'!AE29*0.2</f>
        <v>30481.586440260347</v>
      </c>
      <c r="K28" s="25">
        <f>+O28*'Agricultural production'!C29</f>
        <v>47399.172223847738</v>
      </c>
      <c r="M28" s="25">
        <f t="shared" si="2"/>
        <v>3371.8010050000003</v>
      </c>
      <c r="N28" s="25">
        <f>+'Gross receipts from VOC sales'!B30*0.2</f>
        <v>14851.054054054053</v>
      </c>
      <c r="O28" s="25">
        <v>44.381247400606497</v>
      </c>
      <c r="P28" s="25"/>
      <c r="Q28" s="25">
        <f t="shared" si="3"/>
        <v>273812.54436079366</v>
      </c>
      <c r="R28" s="25">
        <f>+Q28/(Population!AN29*Population!X29)</f>
        <v>144.91358730916443</v>
      </c>
      <c r="S28" s="25"/>
      <c r="T28" s="78">
        <v>94.980310000000003</v>
      </c>
      <c r="U28" s="76">
        <v>71</v>
      </c>
      <c r="V28" s="25">
        <f t="shared" si="4"/>
        <v>87728.282785560252</v>
      </c>
      <c r="W28" s="25">
        <f>+('Livestock in possession'!I31-'Livestock in possession'!I26)/5</f>
        <v>677.84382181564865</v>
      </c>
      <c r="X28" s="25">
        <f>+('Livestock in possession'!J31-'Livestock in possession'!J26)/5</f>
        <v>-354.6286780275521</v>
      </c>
      <c r="Y28" s="25">
        <f>+('Livestock in possession'!B31-'Livestock in possession'!B26)*'Livestock in possession'!F28/5</f>
        <v>256.67400307210016</v>
      </c>
      <c r="Z28" s="25">
        <f>+('Agricultural production'!H32-'Agricultural production'!H27+'Agricultural production'!J32-'Agricultural production'!J27+'Agricultural production'!L32-'Agricultural production'!L27)*'Agricultural production'!W29*2*'Agricultural production'!AE29/5</f>
        <v>2479.36</v>
      </c>
      <c r="AA28" s="25">
        <f>+('Agricultural production'!B32-'Agricultural production'!B27)/5</f>
        <v>-20400</v>
      </c>
      <c r="AB28" s="25">
        <v>-5007.6824387371544</v>
      </c>
      <c r="AC28" s="25">
        <f>+W28*'Agricultural production'!Z27*300*1.5+46*'Agricultural production'!Z27*resteconomy!X28+resteconomy!Y28*100</f>
        <v>64979.286106973945</v>
      </c>
      <c r="AD28" s="25">
        <f t="shared" si="6"/>
        <v>62.450963668236795</v>
      </c>
      <c r="AE28" s="25">
        <f>+(AD28)+'Agricultural production'!AJ29</f>
        <v>726.45194805721349</v>
      </c>
    </row>
    <row r="29" spans="1:31" ht="15" x14ac:dyDescent="0.25">
      <c r="A29">
        <f t="shared" si="5"/>
        <v>1727</v>
      </c>
      <c r="B29" s="24">
        <f>+Population!AN30</f>
        <v>0.19317763896642234</v>
      </c>
      <c r="C29" s="25">
        <f>+Population!X30*Population!Z30*resteconomy!B29</f>
        <v>1347.4471238669928</v>
      </c>
      <c r="D29" s="25">
        <v>64.414402210130447</v>
      </c>
      <c r="E29" s="25">
        <f t="shared" si="0"/>
        <v>126924.00791889471</v>
      </c>
      <c r="F29" s="50">
        <v>39</v>
      </c>
      <c r="G29" s="25">
        <f t="shared" si="1"/>
        <v>54580.083126193895</v>
      </c>
      <c r="H29" s="25">
        <f>+('Livestock in possession'!R29+'Livestock in possession'!T29/2)*'Agricultural production'!Z30*0.1</f>
        <v>22943.100312203336</v>
      </c>
      <c r="I29" s="25">
        <f>+'Agricultural production'!Q30*'Agricultural production'!AE30*0.2</f>
        <v>31636.982813990558</v>
      </c>
      <c r="K29" s="25">
        <f>+O29*'Agricultural production'!C30</f>
        <v>38013.87097293829</v>
      </c>
      <c r="M29" s="25">
        <f t="shared" si="2"/>
        <v>1379.76566</v>
      </c>
      <c r="N29" s="25">
        <f>+'Gross receipts from VOC sales'!B31*0.2</f>
        <v>18925.022393822393</v>
      </c>
      <c r="O29" s="25">
        <v>37.068621134020759</v>
      </c>
      <c r="P29" s="25"/>
      <c r="Q29" s="25">
        <f t="shared" si="3"/>
        <v>239822.7500718493</v>
      </c>
      <c r="R29" s="25">
        <f>+Q29/(Population!AN30*Population!X30)</f>
        <v>135.27124083127609</v>
      </c>
      <c r="S29" s="25"/>
      <c r="T29" s="78">
        <v>98.554689999999994</v>
      </c>
      <c r="U29" s="76">
        <v>28</v>
      </c>
      <c r="V29" s="25">
        <f t="shared" si="4"/>
        <v>64941.44022101305</v>
      </c>
      <c r="W29" s="25">
        <f>+('Livestock in possession'!I32-'Livestock in possession'!I27)/5</f>
        <v>1206.5613079598436</v>
      </c>
      <c r="X29" s="25">
        <f>+('Livestock in possession'!J32-'Livestock in possession'!J27)/5</f>
        <v>6185.6087225730707</v>
      </c>
      <c r="Y29" s="25">
        <f>+('Livestock in possession'!B32-'Livestock in possession'!B27)*'Livestock in possession'!F29/5</f>
        <v>283.55214758488432</v>
      </c>
      <c r="Z29" s="25">
        <f>+('Agricultural production'!H33-'Agricultural production'!H28+'Agricultural production'!J33-'Agricultural production'!J28+'Agricultural production'!L33-'Agricultural production'!L28)*'Agricultural production'!W30*2*'Agricultural production'!AE30/5</f>
        <v>11147.76</v>
      </c>
      <c r="AA29" s="25">
        <f>+('Agricultural production'!B33-'Agricultural production'!B28)/5</f>
        <v>2200</v>
      </c>
      <c r="AB29" s="25">
        <v>603.9925327992936</v>
      </c>
      <c r="AC29" s="25">
        <f>+W29*'Agricultural production'!Z28*300*1.5+46*'Agricultural production'!Z28*resteconomy!X29+resteconomy!Y29*100</f>
        <v>139475.3796772132</v>
      </c>
      <c r="AD29" s="25">
        <f t="shared" si="6"/>
        <v>151.22713221001248</v>
      </c>
      <c r="AE29" s="25">
        <f>+(AD29)+'Agricultural production'!AJ30</f>
        <v>944.28603562680269</v>
      </c>
    </row>
    <row r="30" spans="1:31" ht="15" x14ac:dyDescent="0.25">
      <c r="A30">
        <f t="shared" si="5"/>
        <v>1728</v>
      </c>
      <c r="B30" s="24">
        <f>+Population!AN31</f>
        <v>0.1996641169277375</v>
      </c>
      <c r="C30" s="25">
        <f>+Population!X31*Population!Z31*resteconomy!B30</f>
        <v>1390.0854449075462</v>
      </c>
      <c r="D30" s="25">
        <v>37.535511791094905</v>
      </c>
      <c r="E30" s="25">
        <f t="shared" si="0"/>
        <v>105197.48164485661</v>
      </c>
      <c r="F30" s="50">
        <v>25</v>
      </c>
      <c r="G30" s="25">
        <f t="shared" si="1"/>
        <v>47287.892181846655</v>
      </c>
      <c r="H30" s="25">
        <f>+('Livestock in possession'!R30+'Livestock in possession'!T30/2)*'Agricultural production'!Z31*0.1</f>
        <v>15700.441096285895</v>
      </c>
      <c r="I30" s="25">
        <f>+'Agricultural production'!Q31*'Agricultural production'!AE31*0.2</f>
        <v>31587.451085560759</v>
      </c>
      <c r="K30" s="25">
        <f>+O30*'Agricultural production'!C31</f>
        <v>38151.4175257733</v>
      </c>
      <c r="M30" s="25">
        <f t="shared" si="2"/>
        <v>3166.1772999999998</v>
      </c>
      <c r="N30" s="25">
        <f>+'Gross receipts from VOC sales'!B32*0.2</f>
        <v>8070.9791505791509</v>
      </c>
      <c r="O30" s="25">
        <v>37.680412371134125</v>
      </c>
      <c r="P30" s="25"/>
      <c r="Q30" s="25">
        <f t="shared" si="3"/>
        <v>201873.94780305572</v>
      </c>
      <c r="R30" s="25">
        <f>+Q30/(Population!AN31*Population!X31)</f>
        <v>109.35539102452418</v>
      </c>
      <c r="S30" s="25"/>
      <c r="T30" s="78">
        <v>97.420839999999998</v>
      </c>
      <c r="U30" s="76">
        <v>65</v>
      </c>
      <c r="V30" s="25">
        <f t="shared" si="4"/>
        <v>41253.55117910949</v>
      </c>
      <c r="W30" s="25">
        <f>+('Livestock in possession'!I33-'Livestock in possession'!I28)/5</f>
        <v>2171.4083954329667</v>
      </c>
      <c r="X30" s="25">
        <f>+('Livestock in possession'!J33-'Livestock in possession'!J28)/5</f>
        <v>8304.1845856907894</v>
      </c>
      <c r="Y30" s="25">
        <f>+('Livestock in possession'!B33-'Livestock in possession'!B28)*'Livestock in possession'!F30/5</f>
        <v>337.48546574725481</v>
      </c>
      <c r="Z30" s="25">
        <f>+('Agricultural production'!H34-'Agricultural production'!H29+'Agricultural production'!J34-'Agricultural production'!J29+'Agricultural production'!L34-'Agricultural production'!L29)*'Agricultural production'!W31*2*'Agricultural production'!AE31/5</f>
        <v>2342.08</v>
      </c>
      <c r="AA30" s="25">
        <f>+('Agricultural production'!B34-'Agricultural production'!B29)/5</f>
        <v>16060</v>
      </c>
      <c r="AB30" s="25">
        <v>4554.7859870158809</v>
      </c>
      <c r="AC30" s="25">
        <f>+W30*'Agricultural production'!Z29*300*1.5+46*'Agricultural production'!Z29*resteconomy!X30+resteconomy!Y30*100</f>
        <v>206794.44473832438</v>
      </c>
      <c r="AD30" s="25">
        <f t="shared" si="6"/>
        <v>213.69131072534023</v>
      </c>
      <c r="AE30" s="25">
        <f>+(AD30)+'Agricultural production'!AJ31</f>
        <v>998.66261181320738</v>
      </c>
    </row>
    <row r="31" spans="1:31" ht="15" x14ac:dyDescent="0.25">
      <c r="A31">
        <f t="shared" si="5"/>
        <v>1729</v>
      </c>
      <c r="B31" s="24">
        <f>+Population!AN32</f>
        <v>0.21251720020083228</v>
      </c>
      <c r="C31" s="25">
        <f>+Population!X32*Population!Z32*resteconomy!B31</f>
        <v>1492.0520933197843</v>
      </c>
      <c r="D31" s="25">
        <v>96.819810071409847</v>
      </c>
      <c r="E31" s="25">
        <f t="shared" si="0"/>
        <v>153316.37729985107</v>
      </c>
      <c r="F31" s="50">
        <v>50</v>
      </c>
      <c r="G31" s="25">
        <f t="shared" si="1"/>
        <v>47318.753651311075</v>
      </c>
      <c r="H31" s="25">
        <f>+('Livestock in possession'!R31+'Livestock in possession'!T31/2)*'Agricultural production'!Z32*0.1</f>
        <v>16579.968652706048</v>
      </c>
      <c r="I31" s="25">
        <f>+'Agricultural production'!Q32*'Agricultural production'!AE32*0.2</f>
        <v>30738.784998605028</v>
      </c>
      <c r="K31" s="25">
        <f>+O31*'Agricultural production'!C32</f>
        <v>42105.995489690635</v>
      </c>
      <c r="M31" s="25">
        <f t="shared" si="2"/>
        <v>4304.6858400000001</v>
      </c>
      <c r="N31" s="25">
        <f>+'Gross receipts from VOC sales'!B33*0.2</f>
        <v>5489.7536679536679</v>
      </c>
      <c r="O31" s="25">
        <v>40.476804123711254</v>
      </c>
      <c r="P31" s="25"/>
      <c r="Q31" s="25">
        <f t="shared" si="3"/>
        <v>252535.56594880644</v>
      </c>
      <c r="R31" s="25">
        <f>+Q31/(Population!AN32*Population!X32)</f>
        <v>126.70555115104344</v>
      </c>
      <c r="S31" s="25"/>
      <c r="T31" s="78">
        <v>94.60848</v>
      </c>
      <c r="U31" s="76">
        <v>91</v>
      </c>
      <c r="V31" s="25">
        <f t="shared" si="4"/>
        <v>84681.981007140988</v>
      </c>
      <c r="W31" s="25">
        <f>+('Livestock in possession'!I34-'Livestock in possession'!I29)/5</f>
        <v>2303.958328379385</v>
      </c>
      <c r="X31" s="25">
        <f>+('Livestock in possession'!J34-'Livestock in possession'!J29)/5</f>
        <v>10507.421252187556</v>
      </c>
      <c r="Y31" s="25">
        <f>+('Livestock in possession'!B34-'Livestock in possession'!B29)*'Livestock in possession'!F31/5</f>
        <v>359.77402773430362</v>
      </c>
      <c r="Z31" s="25">
        <f>+('Agricultural production'!H35-'Agricultural production'!H30+'Agricultural production'!J35-'Agricultural production'!J30+'Agricultural production'!L35-'Agricultural production'!L30)*'Agricultural production'!W32*2*'Agricultural production'!AE32/5</f>
        <v>1812.4326315789472</v>
      </c>
      <c r="AA31" s="25">
        <f>+('Agricultural production'!B35-'Agricultural production'!B30)/5</f>
        <v>-4180</v>
      </c>
      <c r="AB31" s="25">
        <v>-1237.2584513576044</v>
      </c>
      <c r="AC31" s="25">
        <f>+W31*'Agricultural production'!Z30*300*1.5+46*'Agricultural production'!Z30*resteconomy!X31+resteconomy!Y31*100</f>
        <v>231421.74032117552</v>
      </c>
      <c r="AD31" s="25">
        <f t="shared" si="6"/>
        <v>231.99691450139684</v>
      </c>
      <c r="AE31" s="25">
        <f>+(AD31)+'Agricultural production'!AJ32</f>
        <v>1068.0685041485376</v>
      </c>
    </row>
    <row r="32" spans="1:31" ht="15" x14ac:dyDescent="0.25">
      <c r="A32">
        <f t="shared" si="5"/>
        <v>1730</v>
      </c>
      <c r="B32" s="24">
        <f>+Population!AN33</f>
        <v>0.21657702589488298</v>
      </c>
      <c r="C32" s="25">
        <f>+Population!X33*Population!Z33*resteconomy!B32</f>
        <v>1603.9429045714667</v>
      </c>
      <c r="D32" s="25">
        <v>130.81004295850198</v>
      </c>
      <c r="E32" s="25">
        <f t="shared" si="0"/>
        <v>188862.37790613767</v>
      </c>
      <c r="F32" s="50">
        <v>68</v>
      </c>
      <c r="G32" s="25">
        <f t="shared" si="1"/>
        <v>48821.391670695586</v>
      </c>
      <c r="H32" s="25">
        <f>+('Livestock in possession'!R32+'Livestock in possession'!T32/2)*'Agricultural production'!Z33*0.1</f>
        <v>15625.307205300036</v>
      </c>
      <c r="I32" s="25">
        <f>+'Agricultural production'!Q33*'Agricultural production'!AE33*0.2</f>
        <v>33196.08446539555</v>
      </c>
      <c r="K32" s="25">
        <f>+O32*'Agricultural production'!C33</f>
        <v>37546.005154638988</v>
      </c>
      <c r="M32" s="25">
        <f t="shared" si="2"/>
        <v>2258.5758000000001</v>
      </c>
      <c r="N32" s="25">
        <f>+'Gross receipts from VOC sales'!B34*0.2</f>
        <v>12831.38532818533</v>
      </c>
      <c r="O32" s="25">
        <v>28.0927835051545</v>
      </c>
      <c r="P32" s="25"/>
      <c r="Q32" s="25">
        <f t="shared" si="3"/>
        <v>290319.73585965758</v>
      </c>
      <c r="R32" s="25">
        <f>+Q32/(Population!AN33*Population!X33)</f>
        <v>136.55306687762729</v>
      </c>
      <c r="S32" s="25"/>
      <c r="T32" s="78">
        <v>115.8244</v>
      </c>
      <c r="U32" s="76">
        <v>39</v>
      </c>
      <c r="V32" s="25">
        <f t="shared" si="4"/>
        <v>115081.0042958502</v>
      </c>
      <c r="W32" s="25">
        <f>+('Livestock in possession'!I35-'Livestock in possession'!I30)/5</f>
        <v>1889.5318218845794</v>
      </c>
      <c r="X32" s="25">
        <f>+('Livestock in possession'!J35-'Livestock in possession'!J30)/5</f>
        <v>13037.917611969524</v>
      </c>
      <c r="Y32" s="25">
        <f>+('Livestock in possession'!B35-'Livestock in possession'!B30)*'Livestock in possession'!F32/5</f>
        <v>387.26222300356983</v>
      </c>
      <c r="Z32" s="25">
        <f>+('Agricultural production'!H36-'Agricultural production'!H31+'Agricultural production'!J36-'Agricultural production'!J31+'Agricultural production'!L36-'Agricultural production'!L31)*'Agricultural production'!W33*2*'Agricultural production'!AE33/5</f>
        <v>746.72</v>
      </c>
      <c r="AA32" s="25">
        <f>+('Agricultural production'!B36-'Agricultural production'!B31)/5</f>
        <v>57000</v>
      </c>
      <c r="AB32" s="25">
        <v>17638.621138041191</v>
      </c>
      <c r="AC32" s="25">
        <f>+W32*'Agricultural production'!Z31*300*1.5+46*'Agricultural production'!Z31*resteconomy!X32+resteconomy!Y32*100</f>
        <v>167917.30490166607</v>
      </c>
      <c r="AD32" s="25">
        <f t="shared" si="6"/>
        <v>186.30264603970727</v>
      </c>
      <c r="AE32" s="25">
        <f>+(AD32)+'Agricultural production'!AJ33</f>
        <v>1044.3786979709048</v>
      </c>
    </row>
    <row r="33" spans="1:31" ht="15" x14ac:dyDescent="0.25">
      <c r="A33">
        <f t="shared" si="5"/>
        <v>1731</v>
      </c>
      <c r="B33" s="24">
        <f>+Population!AN34</f>
        <v>0.21774634684157937</v>
      </c>
      <c r="C33" s="25">
        <f>+Population!X34*Population!Z34*resteconomy!B33</f>
        <v>1685.9057102148249</v>
      </c>
      <c r="D33" s="25">
        <v>104.61525879651958</v>
      </c>
      <c r="E33" s="25">
        <f t="shared" si="0"/>
        <v>152513.18854953389</v>
      </c>
      <c r="F33" s="50">
        <v>43</v>
      </c>
      <c r="G33" s="25">
        <f t="shared" si="1"/>
        <v>51856.462756875422</v>
      </c>
      <c r="H33" s="25">
        <f>+('Livestock in possession'!R33+'Livestock in possession'!T33/2)*'Agricultural production'!Z34*0.1</f>
        <v>17275.524211128442</v>
      </c>
      <c r="I33" s="25">
        <f>+'Agricultural production'!Q34*'Agricultural production'!AE34*0.2</f>
        <v>34580.938545746976</v>
      </c>
      <c r="K33" s="25">
        <f>+O33*'Agricultural production'!C34</f>
        <v>83818.595360824896</v>
      </c>
      <c r="M33" s="25">
        <f t="shared" si="2"/>
        <v>4349.8499999999995</v>
      </c>
      <c r="N33" s="25">
        <f>+'Gross receipts from VOC sales'!B35*0.2</f>
        <v>9332.7328185328188</v>
      </c>
      <c r="O33" s="25">
        <v>51.612435567010408</v>
      </c>
      <c r="P33" s="25"/>
      <c r="Q33" s="25">
        <f t="shared" si="3"/>
        <v>301870.829485767</v>
      </c>
      <c r="R33" s="25">
        <f>+Q33/(Population!AN34*Population!X34)</f>
        <v>134.86216652118972</v>
      </c>
      <c r="S33" s="25"/>
      <c r="T33" s="78">
        <v>115.996</v>
      </c>
      <c r="U33" s="76">
        <v>75</v>
      </c>
      <c r="V33" s="25">
        <f t="shared" si="4"/>
        <v>74961.525879651934</v>
      </c>
      <c r="W33" s="25">
        <f>+('Livestock in possession'!I36-'Livestock in possession'!I31)/5</f>
        <v>2811.6722554621801</v>
      </c>
      <c r="X33" s="25">
        <f>+('Livestock in possession'!J36-'Livestock in possession'!J31)/5</f>
        <v>18105.456882150476</v>
      </c>
      <c r="Y33" s="25">
        <f>+('Livestock in possession'!B36-'Livestock in possession'!B31)*'Livestock in possession'!F33/5</f>
        <v>427.94400000000013</v>
      </c>
      <c r="Z33" s="25">
        <f>+('Agricultural production'!H37-'Agricultural production'!H32+'Agricultural production'!J37-'Agricultural production'!J32+'Agricultural production'!L37-'Agricultural production'!L32)*'Agricultural production'!W34*2*'Agricultural production'!AE34/5</f>
        <v>1042.0800000000002</v>
      </c>
      <c r="AA33" s="25">
        <f>+('Agricultural production'!B37-'Agricultural production'!B32)/5</f>
        <v>17780</v>
      </c>
      <c r="AB33" s="25">
        <v>6014.5032259846248</v>
      </c>
      <c r="AC33" s="25">
        <f>+W33*'Agricultural production'!Z32*300*1.5+46*'Agricultural production'!Z32*resteconomy!X33+resteconomy!Y33*100</f>
        <v>239491.6060815847</v>
      </c>
      <c r="AD33" s="25">
        <f t="shared" si="6"/>
        <v>246.54818930756932</v>
      </c>
      <c r="AE33" s="25">
        <f>+(AD33)+'Agricultural production'!AJ34</f>
        <v>1165.6700328286627</v>
      </c>
    </row>
    <row r="34" spans="1:31" ht="15" x14ac:dyDescent="0.25">
      <c r="A34">
        <f t="shared" si="5"/>
        <v>1732</v>
      </c>
      <c r="B34" s="24">
        <f>+Population!AN35</f>
        <v>0.2230981885142839</v>
      </c>
      <c r="C34" s="25">
        <f>+Population!X35*Population!Z35*resteconomy!B34</f>
        <v>1760.7316752944653</v>
      </c>
      <c r="D34" s="25">
        <v>61.257784723103441</v>
      </c>
      <c r="E34" s="25">
        <f t="shared" si="0"/>
        <v>138119.43553585574</v>
      </c>
      <c r="F34" s="50">
        <v>34</v>
      </c>
      <c r="G34" s="25">
        <f t="shared" si="1"/>
        <v>52742.677770368551</v>
      </c>
      <c r="H34" s="25">
        <f>+('Livestock in possession'!R34+'Livestock in possession'!T34/2)*'Agricultural production'!Z35*0.1</f>
        <v>17515.881691852377</v>
      </c>
      <c r="I34" s="25">
        <f>+'Agricultural production'!Q35*'Agricultural production'!AE35*0.2</f>
        <v>35226.796078516178</v>
      </c>
      <c r="K34" s="25">
        <f>+O34*'Agricultural production'!C35</f>
        <v>60336.790907032642</v>
      </c>
      <c r="M34" s="25">
        <f t="shared" si="2"/>
        <v>3224.1193000000003</v>
      </c>
      <c r="N34" s="25">
        <f>+'Gross receipts from VOC sales'!B36*0.2</f>
        <v>13333.591505791506</v>
      </c>
      <c r="O34" s="25">
        <v>41.383258509624582</v>
      </c>
      <c r="P34" s="25"/>
      <c r="Q34" s="25">
        <f t="shared" si="3"/>
        <v>267756.61501904845</v>
      </c>
      <c r="R34" s="25">
        <f>+Q34/(Population!AN35*Population!X35)</f>
        <v>113.66266627394619</v>
      </c>
      <c r="S34" s="25"/>
      <c r="T34" s="78">
        <v>140.17910000000001</v>
      </c>
      <c r="U34" s="76">
        <v>46</v>
      </c>
      <c r="V34" s="25">
        <f t="shared" si="4"/>
        <v>57125.77847231034</v>
      </c>
      <c r="W34" s="25">
        <f>+('Livestock in possession'!I37-'Livestock in possession'!I32)/5</f>
        <v>2314.1139393418985</v>
      </c>
      <c r="X34" s="25">
        <f>+('Livestock in possession'!J37-'Livestock in possession'!J32)/5</f>
        <v>15054.891664762563</v>
      </c>
      <c r="Y34" s="25">
        <f>+('Livestock in possession'!B37-'Livestock in possession'!B32)*'Livestock in possession'!F34/5</f>
        <v>478.97706375657799</v>
      </c>
      <c r="Z34" s="25">
        <f>+('Agricultural production'!H38-'Agricultural production'!H33+'Agricultural production'!J38-'Agricultural production'!J33+'Agricultural production'!L38-'Agricultural production'!L33)*'Agricultural production'!W35*2*'Agricultural production'!AE35/5</f>
        <v>-7103.2</v>
      </c>
      <c r="AA34" s="25">
        <f>+('Agricultural production'!B38-'Agricultural production'!B33)/5</f>
        <v>85620</v>
      </c>
      <c r="AB34" s="25">
        <v>30396.954146715951</v>
      </c>
      <c r="AC34" s="25">
        <f>+W34*'Agricultural production'!Z33*300*1.5+46*'Agricultural production'!Z33*resteconomy!X34+resteconomy!Y34*100</f>
        <v>210448.60849593271</v>
      </c>
      <c r="AD34" s="25">
        <f t="shared" si="6"/>
        <v>233.74236264264866</v>
      </c>
      <c r="AE34" s="25">
        <f>+(AD34)+'Agricultural production'!AJ35</f>
        <v>1197.9044673941748</v>
      </c>
    </row>
    <row r="35" spans="1:31" ht="15" x14ac:dyDescent="0.25">
      <c r="A35">
        <f t="shared" si="5"/>
        <v>1733</v>
      </c>
      <c r="B35" s="24">
        <f>+Population!AN36</f>
        <v>0.23956915730173831</v>
      </c>
      <c r="C35" s="25">
        <f>+Population!X36*Population!Z36*resteconomy!B35</f>
        <v>1911.6744996454108</v>
      </c>
      <c r="D35" s="25">
        <v>139.69710655062408</v>
      </c>
      <c r="E35" s="25">
        <f t="shared" si="0"/>
        <v>110906.73763875131</v>
      </c>
      <c r="F35" s="50">
        <v>6</v>
      </c>
      <c r="G35" s="25">
        <f t="shared" si="1"/>
        <v>52922.193818797554</v>
      </c>
      <c r="H35" s="25">
        <f>+('Livestock in possession'!R35+'Livestock in possession'!T35/2)*'Agricultural production'!Z36*0.1</f>
        <v>17327.052109784941</v>
      </c>
      <c r="I35" s="25">
        <f>+'Agricultural production'!Q36*'Agricultural production'!AE36*0.2</f>
        <v>35595.141709012612</v>
      </c>
      <c r="K35" s="25">
        <f>+O35*'Agricultural production'!C36</f>
        <v>40733.231314432916</v>
      </c>
      <c r="M35" s="25">
        <f t="shared" si="2"/>
        <v>4706.6656000000003</v>
      </c>
      <c r="N35" s="25">
        <f>+'Gross receipts from VOC sales'!B37*0.2</f>
        <v>13493.686486486486</v>
      </c>
      <c r="O35" s="25">
        <v>28.991623711340154</v>
      </c>
      <c r="P35" s="25"/>
      <c r="Q35" s="25">
        <f t="shared" si="3"/>
        <v>222762.51485846826</v>
      </c>
      <c r="R35" s="25">
        <f>+Q35/(Population!AN36*Population!X36)</f>
        <v>86.305158307755093</v>
      </c>
      <c r="S35" s="25"/>
      <c r="T35" s="78">
        <v>147.08330000000001</v>
      </c>
      <c r="U35" s="76">
        <v>64</v>
      </c>
      <c r="V35" s="25">
        <f t="shared" si="4"/>
        <v>22969.710655062401</v>
      </c>
      <c r="W35" s="25">
        <f>+('Livestock in possession'!I38-'Livestock in possession'!I33)/5</f>
        <v>1404.9670253673437</v>
      </c>
      <c r="X35" s="25">
        <f>+('Livestock in possession'!J38-'Livestock in possession'!J33)/5</f>
        <v>14149.869060699624</v>
      </c>
      <c r="Y35" s="25">
        <f>+('Livestock in possession'!B38-'Livestock in possession'!B33)*'Livestock in possession'!F35/5</f>
        <v>127.47129389238644</v>
      </c>
      <c r="Z35" s="25">
        <f>+('Agricultural production'!H39-'Agricultural production'!H34+'Agricultural production'!J39-'Agricultural production'!J34+'Agricultural production'!L39-'Agricultural production'!L34)*'Agricultural production'!W36*2*'Agricultural production'!AE36/5</f>
        <v>-64.48</v>
      </c>
      <c r="AA35" s="25">
        <f>+('Agricultural production'!B39-'Agricultural production'!B34)/5</f>
        <v>86940</v>
      </c>
      <c r="AB35" s="25">
        <v>30764.406480537036</v>
      </c>
      <c r="AC35" s="25">
        <f>+W35*'Agricultural production'!Z34*300*1.5+46*'Agricultural production'!Z34*resteconomy!X35+resteconomy!Y35*100</f>
        <v>133040.48609619061</v>
      </c>
      <c r="AD35" s="25">
        <f t="shared" si="6"/>
        <v>163.74041257672764</v>
      </c>
      <c r="AE35" s="25">
        <f>+(AD35)+'Agricultural production'!AJ36</f>
        <v>1124.3901980593523</v>
      </c>
    </row>
    <row r="36" spans="1:31" ht="15" x14ac:dyDescent="0.25">
      <c r="A36">
        <f t="shared" si="5"/>
        <v>1734</v>
      </c>
      <c r="B36" s="24">
        <f>+Population!AN37</f>
        <v>0.22301338461249998</v>
      </c>
      <c r="C36" s="25">
        <f>+Population!X37*Population!Z37*resteconomy!B36</f>
        <v>1942.9460156165605</v>
      </c>
      <c r="D36" s="25">
        <v>184.63077216409806</v>
      </c>
      <c r="E36" s="25">
        <f t="shared" si="0"/>
        <v>110838.59393477159</v>
      </c>
      <c r="F36" s="50">
        <v>2</v>
      </c>
      <c r="G36" s="25">
        <f t="shared" si="1"/>
        <v>57060.098680060466</v>
      </c>
      <c r="H36" s="25">
        <f>+('Livestock in possession'!R36+'Livestock in possession'!T36/2)*'Agricultural production'!Z37*0.1</f>
        <v>18560.589351131144</v>
      </c>
      <c r="I36" s="25">
        <f>+'Agricultural production'!Q37*'Agricultural production'!AE37*0.2</f>
        <v>38499.509328929322</v>
      </c>
      <c r="K36" s="25">
        <f>+O36*'Agricultural production'!C37</f>
        <v>16875.793331185378</v>
      </c>
      <c r="M36" s="25">
        <f t="shared" si="2"/>
        <v>11313.174999999999</v>
      </c>
      <c r="N36" s="25">
        <f>+'Gross receipts from VOC sales'!B38*0.2</f>
        <v>7486.2185328185333</v>
      </c>
      <c r="O36" s="25">
        <v>13.261920103092635</v>
      </c>
      <c r="P36" s="25"/>
      <c r="Q36" s="25">
        <f t="shared" si="3"/>
        <v>203573.87947883597</v>
      </c>
      <c r="R36" s="25">
        <f>+Q36/(Population!AN37*Population!X37)</f>
        <v>78.315980432796238</v>
      </c>
      <c r="S36" s="25"/>
      <c r="T36" s="78">
        <v>154.97499999999999</v>
      </c>
      <c r="U36" s="76">
        <v>146</v>
      </c>
      <c r="V36" s="25">
        <f t="shared" si="4"/>
        <v>21463.077216409802</v>
      </c>
      <c r="W36" s="25">
        <f>+('Livestock in possession'!I39-'Livestock in possession'!I34)/5</f>
        <v>1046.3755614623442</v>
      </c>
      <c r="X36" s="25">
        <f>+('Livestock in possession'!J39-'Livestock in possession'!J34)/5</f>
        <v>12561.833870468865</v>
      </c>
      <c r="Y36" s="25">
        <f>+('Livestock in possession'!B39-'Livestock in possession'!B34)*'Livestock in possession'!F36/5</f>
        <v>126.150944320001</v>
      </c>
      <c r="Z36" s="25">
        <f>+('Agricultural production'!H40-'Agricultural production'!H35+'Agricultural production'!J40-'Agricultural production'!J35+'Agricultural production'!L40-'Agricultural production'!L35)*'Agricultural production'!W37*2*'Agricultural production'!AE37/5</f>
        <v>110.24000000000001</v>
      </c>
      <c r="AA36" s="25">
        <f>+('Agricultural production'!B40-'Agricultural production'!B35)/5</f>
        <v>90380</v>
      </c>
      <c r="AB36" s="25">
        <v>32358.633075944887</v>
      </c>
      <c r="AC36" s="25">
        <f>+W36*'Agricultural production'!Z35*300*1.5+46*'Agricultural production'!Z35*resteconomy!X36+resteconomy!Y36*100</f>
        <v>110931.97199758975</v>
      </c>
      <c r="AD36" s="25">
        <f t="shared" si="6"/>
        <v>143.40084507353461</v>
      </c>
      <c r="AE36" s="25">
        <f>+(AD36)+'Agricultural production'!AJ37</f>
        <v>1145.724546338917</v>
      </c>
    </row>
    <row r="37" spans="1:31" ht="15" x14ac:dyDescent="0.25">
      <c r="A37">
        <f t="shared" si="5"/>
        <v>1735</v>
      </c>
      <c r="B37" s="24">
        <f>+Population!AN38</f>
        <v>0.23153011680978877</v>
      </c>
      <c r="C37" s="25">
        <f>+Population!X38*Population!Z38*resteconomy!B37</f>
        <v>2102.4953936880652</v>
      </c>
      <c r="D37" s="25">
        <v>113.60666831538879</v>
      </c>
      <c r="E37" s="25">
        <f t="shared" si="0"/>
        <v>117075.45494118988</v>
      </c>
      <c r="F37" s="50">
        <v>6</v>
      </c>
      <c r="G37" s="25">
        <f t="shared" si="1"/>
        <v>59353.527793470203</v>
      </c>
      <c r="H37" s="25">
        <f>+('Livestock in possession'!R37+'Livestock in possession'!T37/2)*'Agricultural production'!Z38*0.1</f>
        <v>19425.779424098404</v>
      </c>
      <c r="I37" s="25">
        <f>+'Agricultural production'!Q38*'Agricultural production'!AE38*0.2</f>
        <v>39927.748369371795</v>
      </c>
      <c r="K37" s="25">
        <f>+O37*'Agricultural production'!C38</f>
        <v>58742.509664948535</v>
      </c>
      <c r="M37" s="25">
        <f t="shared" si="2"/>
        <v>3496.7799999999997</v>
      </c>
      <c r="N37" s="25">
        <f>+'Gross receipts from VOC sales'!B39*0.2</f>
        <v>1442.4872586872589</v>
      </c>
      <c r="O37" s="25">
        <v>31.08891752577324</v>
      </c>
      <c r="P37" s="25"/>
      <c r="Q37" s="25">
        <f t="shared" si="3"/>
        <v>240110.75965829586</v>
      </c>
      <c r="R37" s="25">
        <f>+Q37/(Population!AN38*Population!X38)</f>
        <v>85.250148049401602</v>
      </c>
      <c r="S37" s="25"/>
      <c r="T37" s="78">
        <v>139.87119999999999</v>
      </c>
      <c r="U37" s="76">
        <v>50</v>
      </c>
      <c r="V37" s="25">
        <f t="shared" si="4"/>
        <v>20360.666831538882</v>
      </c>
      <c r="W37" s="25">
        <f>+('Livestock in possession'!I40-'Livestock in possession'!I35)/5</f>
        <v>915.262305487199</v>
      </c>
      <c r="X37" s="25">
        <f>+('Livestock in possession'!J40-'Livestock in possession'!J35)/5</f>
        <v>14221.647083735192</v>
      </c>
      <c r="Y37" s="25">
        <f>+('Livestock in possession'!B40-'Livestock in possession'!B35)*'Livestock in possession'!F37/5</f>
        <v>86.662169823065469</v>
      </c>
      <c r="Z37" s="25">
        <f>+('Agricultural production'!H41-'Agricultural production'!H36+'Agricultural production'!J41-'Agricultural production'!J36+'Agricultural production'!L41-'Agricultural production'!L36)*'Agricultural production'!W38*2*'Agricultural production'!AE38/5</f>
        <v>1135.68</v>
      </c>
      <c r="AA37" s="25">
        <f>+('Agricultural production'!B41-'Agricultural production'!B36)/5</f>
        <v>23800</v>
      </c>
      <c r="AB37" s="25">
        <v>7907.8439321239657</v>
      </c>
      <c r="AC37" s="25">
        <f>+W37*'Agricultural production'!Z36*300*1.5+46*'Agricultural production'!Z36*resteconomy!X37+resteconomy!Y37*100</f>
        <v>108609.69854365579</v>
      </c>
      <c r="AD37" s="25">
        <f t="shared" si="6"/>
        <v>117.65322247577976</v>
      </c>
      <c r="AE37" s="25">
        <f>+(AD37)+'Agricultural production'!AJ38</f>
        <v>1104.8508023943243</v>
      </c>
    </row>
    <row r="38" spans="1:31" ht="15" x14ac:dyDescent="0.25">
      <c r="A38">
        <f t="shared" si="5"/>
        <v>1736</v>
      </c>
      <c r="B38" s="24">
        <f>+Population!AN39</f>
        <v>0.2407286088576647</v>
      </c>
      <c r="C38" s="25">
        <f>+Population!X39*Population!Z39*resteconomy!B38</f>
        <v>2235.5993941243155</v>
      </c>
      <c r="D38" s="25">
        <v>45.177945085328702</v>
      </c>
      <c r="E38" s="25">
        <f t="shared" si="0"/>
        <v>108855.36663825139</v>
      </c>
      <c r="F38" s="50">
        <v>1</v>
      </c>
      <c r="G38" s="25">
        <f t="shared" si="1"/>
        <v>59071.103858711773</v>
      </c>
      <c r="H38" s="25">
        <f>+('Livestock in possession'!R38+'Livestock in possession'!T38/2)*'Agricultural production'!Z39*0.1</f>
        <v>18268.005655781919</v>
      </c>
      <c r="I38" s="25">
        <f>+'Agricultural production'!Q39*'Agricultural production'!AE39*0.2</f>
        <v>40803.098202929854</v>
      </c>
      <c r="K38" s="25">
        <f>+O38*'Agricultural production'!C39</f>
        <v>33121.984536082578</v>
      </c>
      <c r="M38" s="25">
        <f t="shared" si="2"/>
        <v>4443.0839999999998</v>
      </c>
      <c r="N38" s="25">
        <f>+'Gross receipts from VOC sales'!B40*0.2</f>
        <v>18370.811583011582</v>
      </c>
      <c r="O38" s="25">
        <v>25.695876288659875</v>
      </c>
      <c r="P38" s="25"/>
      <c r="Q38" s="25">
        <f t="shared" si="3"/>
        <v>223862.35061605732</v>
      </c>
      <c r="R38" s="25">
        <f>+Q38/(Population!AN39*Population!X39)</f>
        <v>74.551959159634762</v>
      </c>
      <c r="S38" s="25"/>
      <c r="T38" s="78">
        <v>123.419</v>
      </c>
      <c r="U38" s="76">
        <v>72</v>
      </c>
      <c r="V38" s="25">
        <f t="shared" si="4"/>
        <v>6017.7945085328683</v>
      </c>
      <c r="W38" s="25">
        <f>+('Livestock in possession'!I41-'Livestock in possession'!I36)/5</f>
        <v>686.3574727261846</v>
      </c>
      <c r="X38" s="25">
        <f>+('Livestock in possession'!J41-'Livestock in possession'!J36)/5</f>
        <v>6283.0653515750255</v>
      </c>
      <c r="Y38" s="25">
        <f>+('Livestock in possession'!B41-'Livestock in possession'!B36)*'Livestock in possession'!F38/5</f>
        <v>57.061072951377959</v>
      </c>
      <c r="Z38" s="25">
        <f>+('Agricultural production'!H42-'Agricultural production'!H37+'Agricultural production'!J42-'Agricultural production'!J37+'Agricultural production'!L42-'Agricultural production'!L37)*'Agricultural production'!W39*2*'Agricultural production'!AE39/5</f>
        <v>2943.2</v>
      </c>
      <c r="AA38" s="25">
        <f>+('Agricultural production'!B42-'Agricultural production'!B37)/5</f>
        <v>-520</v>
      </c>
      <c r="AB38" s="25">
        <v>-162.41969051288402</v>
      </c>
      <c r="AC38" s="25">
        <f>+W38*'Agricultural production'!Z37*300*1.5+46*'Agricultural production'!Z37*resteconomy!X38+resteconomy!Y38*100</f>
        <v>61757.532504441006</v>
      </c>
      <c r="AD38" s="25">
        <f t="shared" si="6"/>
        <v>64.538312813928115</v>
      </c>
      <c r="AE38" s="25">
        <f>+(AD38)+'Agricultural production'!AJ39</f>
        <v>957.81046055286538</v>
      </c>
    </row>
    <row r="39" spans="1:31" ht="15" x14ac:dyDescent="0.25">
      <c r="A39">
        <f t="shared" si="5"/>
        <v>1737</v>
      </c>
      <c r="B39" s="24">
        <f>+Population!AN40</f>
        <v>0.25474678474737744</v>
      </c>
      <c r="C39" s="25">
        <f>+Population!X40*Population!Z40*resteconomy!B39</f>
        <v>2342.3409362368111</v>
      </c>
      <c r="D39" s="25">
        <v>25.673302220990763</v>
      </c>
      <c r="E39" s="25">
        <f t="shared" si="0"/>
        <v>129815.0132889924</v>
      </c>
      <c r="F39" s="50">
        <v>13</v>
      </c>
      <c r="G39" s="25">
        <f t="shared" si="1"/>
        <v>60184.014146291134</v>
      </c>
      <c r="H39" s="25">
        <f>+('Livestock in possession'!R39+'Livestock in possession'!T39/2)*'Agricultural production'!Z40*0.1</f>
        <v>19504.37581468968</v>
      </c>
      <c r="I39" s="25">
        <f>+'Agricultural production'!Q40*'Agricultural production'!AE40*0.2</f>
        <v>40679.638331601454</v>
      </c>
      <c r="K39" s="25">
        <f>+O39*'Agricultural production'!C40</f>
        <v>68544.27190721668</v>
      </c>
      <c r="M39" s="25">
        <f t="shared" si="2"/>
        <v>3005.8885099999998</v>
      </c>
      <c r="N39" s="25">
        <f>+'Gross receipts from VOC sales'!B41*0.2</f>
        <v>14544.156756756758</v>
      </c>
      <c r="O39" s="25">
        <v>43.67268041237125</v>
      </c>
      <c r="P39" s="25"/>
      <c r="Q39" s="25">
        <f t="shared" si="3"/>
        <v>276093.34460925701</v>
      </c>
      <c r="R39" s="25">
        <f>+Q39/(Population!AN40*Population!X40)</f>
        <v>87.025748708752445</v>
      </c>
      <c r="S39" s="25"/>
      <c r="T39" s="78">
        <v>81.240229999999997</v>
      </c>
      <c r="U39" s="76">
        <v>74</v>
      </c>
      <c r="V39" s="25">
        <f t="shared" si="4"/>
        <v>22067.330222099074</v>
      </c>
      <c r="W39" s="25">
        <f>+('Livestock in possession'!I42-'Livestock in possession'!I37)/5</f>
        <v>1669.7755167970768</v>
      </c>
      <c r="X39" s="25">
        <f>+('Livestock in possession'!J42-'Livestock in possession'!J37)/5</f>
        <v>5645.6888355645006</v>
      </c>
      <c r="Y39" s="25">
        <f>+('Livestock in possession'!B42-'Livestock in possession'!B37)*'Livestock in possession'!F39/5</f>
        <v>34.548790220172087</v>
      </c>
      <c r="Z39" s="25">
        <f>+('Agricultural production'!H43-'Agricultural production'!H38+'Agricultural production'!J43-'Agricultural production'!J38+'Agricultural production'!L43-'Agricultural production'!L38)*'Agricultural production'!W40*2*'Agricultural production'!AE40/5</f>
        <v>6180.72</v>
      </c>
      <c r="AA39" s="25">
        <f>+('Agricultural production'!B43-'Agricultural production'!B38)/5</f>
        <v>-71620</v>
      </c>
      <c r="AB39" s="25">
        <v>-19615.115516788483</v>
      </c>
      <c r="AC39" s="25">
        <f>+W39*'Agricultural production'!Z38*300*1.5+46*'Agricultural production'!Z38*resteconomy!X39+resteconomy!Y39*100</f>
        <v>98245.566740265815</v>
      </c>
      <c r="AD39" s="25">
        <f t="shared" si="6"/>
        <v>84.811171223477331</v>
      </c>
      <c r="AE39" s="25">
        <f>+(AD39)+'Agricultural production'!AJ40</f>
        <v>950.73506897976972</v>
      </c>
    </row>
    <row r="40" spans="1:31" ht="15" x14ac:dyDescent="0.25">
      <c r="A40">
        <f t="shared" si="5"/>
        <v>1738</v>
      </c>
      <c r="B40" s="24">
        <f>+Population!AN41</f>
        <v>0.24174687339236264</v>
      </c>
      <c r="C40" s="25">
        <f>+Population!X41*Population!Z41*resteconomy!B40</f>
        <v>2233.7648511761408</v>
      </c>
      <c r="D40" s="25">
        <v>15.767312555330363</v>
      </c>
      <c r="E40" s="25">
        <f t="shared" si="0"/>
        <v>164329.9144096355</v>
      </c>
      <c r="F40" s="50">
        <v>40</v>
      </c>
      <c r="G40" s="25">
        <f t="shared" si="1"/>
        <v>61038.695965366845</v>
      </c>
      <c r="H40" s="25">
        <f>+('Livestock in possession'!R40+'Livestock in possession'!T40/2)*'Agricultural production'!Z41*0.1</f>
        <v>19916.361031288696</v>
      </c>
      <c r="I40" s="25">
        <f>+'Agricultural production'!Q41*'Agricultural production'!AE41*0.2</f>
        <v>41122.33493407815</v>
      </c>
      <c r="K40" s="25">
        <f>+O40*'Agricultural production'!C41</f>
        <v>62286.053479381451</v>
      </c>
      <c r="M40" s="25">
        <f t="shared" si="2"/>
        <v>5955.4496800000006</v>
      </c>
      <c r="N40" s="25">
        <f>+'Gross receipts from VOC sales'!B42*0.2</f>
        <v>17071.511969111973</v>
      </c>
      <c r="O40" s="25">
        <v>64.645618556701038</v>
      </c>
      <c r="P40" s="25"/>
      <c r="Q40" s="25">
        <f t="shared" si="3"/>
        <v>310681.62550349574</v>
      </c>
      <c r="R40" s="25">
        <f>+Q40/(Population!AN41*Population!X41)</f>
        <v>102.28206190382178</v>
      </c>
      <c r="S40" s="25"/>
      <c r="T40" s="78">
        <v>78.361180000000004</v>
      </c>
      <c r="U40" s="76">
        <v>152</v>
      </c>
      <c r="V40" s="25">
        <f t="shared" si="4"/>
        <v>61576.731255533028</v>
      </c>
      <c r="W40" s="25">
        <f>+('Livestock in possession'!I43-'Livestock in possession'!I38)/5</f>
        <v>2835.9260060146858</v>
      </c>
      <c r="X40" s="25">
        <f>+('Livestock in possession'!J43-'Livestock in possession'!J38)/5</f>
        <v>464.59600042671082</v>
      </c>
      <c r="Y40" s="25">
        <f>+('Livestock in possession'!B43-'Livestock in possession'!B38)*'Livestock in possession'!F40/5</f>
        <v>296.93399999999991</v>
      </c>
      <c r="Z40" s="25">
        <f>+('Agricultural production'!H44-'Agricultural production'!H39+'Agricultural production'!J44-'Agricultural production'!J39+'Agricultural production'!L44-'Agricultural production'!L39)*'Agricultural production'!W41*2*'Agricultural production'!AE41/5</f>
        <v>3631.6800000000003</v>
      </c>
      <c r="AA40" s="25">
        <f>+('Agricultural production'!B44-'Agricultural production'!B39)/5</f>
        <v>-88980</v>
      </c>
      <c r="AB40" s="25">
        <v>-24668.083651547135</v>
      </c>
      <c r="AC40" s="25">
        <f>+W40*'Agricultural production'!Z39*300*1.5+46*'Agricultural production'!Z39*resteconomy!X40+resteconomy!Y40*100</f>
        <v>151337.59863058475</v>
      </c>
      <c r="AD40" s="25">
        <f t="shared" si="6"/>
        <v>130.30119497903763</v>
      </c>
      <c r="AE40" s="25">
        <f>+(AD40)+'Agricultural production'!AJ41</f>
        <v>952.81655259596914</v>
      </c>
    </row>
    <row r="41" spans="1:31" ht="15" x14ac:dyDescent="0.25">
      <c r="A41">
        <f t="shared" si="5"/>
        <v>1739</v>
      </c>
      <c r="B41" s="24">
        <f>+Population!AN42</f>
        <v>0.2492949270373076</v>
      </c>
      <c r="C41" s="25">
        <f>+Population!X42*Population!Z42*resteconomy!B41</f>
        <v>2287.5015963989276</v>
      </c>
      <c r="D41" s="25">
        <v>-28.142668982877012</v>
      </c>
      <c r="E41" s="25">
        <f t="shared" si="0"/>
        <v>132410.80653606297</v>
      </c>
      <c r="F41" s="50">
        <v>20</v>
      </c>
      <c r="G41" s="25">
        <f t="shared" si="1"/>
        <v>59283.776632241817</v>
      </c>
      <c r="H41" s="25">
        <f>+('Livestock in possession'!R41+'Livestock in possession'!T41/2)*'Agricultural production'!Z42*0.1</f>
        <v>18308.297660998342</v>
      </c>
      <c r="I41" s="25">
        <f>+'Agricultural production'!Q42*'Agricultural production'!AE42*0.2</f>
        <v>40975.478971243472</v>
      </c>
      <c r="K41" s="25">
        <f>+O41*'Agricultural production'!C42</f>
        <v>44799.226804123631</v>
      </c>
      <c r="M41" s="25">
        <f t="shared" si="2"/>
        <v>1470.75</v>
      </c>
      <c r="N41" s="25">
        <f>+'Gross receipts from VOC sales'!B43*0.2</f>
        <v>19811.899613899615</v>
      </c>
      <c r="O41" s="25">
        <v>52.061855670103</v>
      </c>
      <c r="P41" s="25"/>
      <c r="Q41" s="25">
        <f t="shared" si="3"/>
        <v>257776.45958632801</v>
      </c>
      <c r="R41" s="25">
        <f>+Q41/(Population!AN42*Population!X42)</f>
        <v>82.628031613332112</v>
      </c>
      <c r="S41" s="25"/>
      <c r="T41" s="78">
        <v>79.5</v>
      </c>
      <c r="U41" s="76">
        <v>37</v>
      </c>
      <c r="V41" s="25">
        <f t="shared" si="4"/>
        <v>27185.733101712292</v>
      </c>
      <c r="W41" s="25">
        <f>+('Livestock in possession'!I44-'Livestock in possession'!I39)/5</f>
        <v>3437.2298379333065</v>
      </c>
      <c r="X41" s="25">
        <f>+('Livestock in possession'!J44-'Livestock in possession'!J39)/5</f>
        <v>4605.6768986657262</v>
      </c>
      <c r="Y41" s="25">
        <f>+('Livestock in possession'!B44-'Livestock in possession'!B39)*'Livestock in possession'!F41/5</f>
        <v>367.16586985655863</v>
      </c>
      <c r="Z41" s="25">
        <f>+('Agricultural production'!H45-'Agricultural production'!H40+'Agricultural production'!J45-'Agricultural production'!J40+'Agricultural production'!L45-'Agricultural production'!L40)*'Agricultural production'!W42*2*'Agricultural production'!AE42/5</f>
        <v>3827.2</v>
      </c>
      <c r="AA41" s="25">
        <f>+('Agricultural production'!B45-'Agricultural production'!B40)/5</f>
        <v>-66980</v>
      </c>
      <c r="AB41" s="25">
        <v>-19674.430437784285</v>
      </c>
      <c r="AC41" s="25">
        <f>+W41*'Agricultural production'!Z40*300*1.5+46*'Agricultural production'!Z40*resteconomy!X41+resteconomy!Y41*100</f>
        <v>201586.70239896321</v>
      </c>
      <c r="AD41" s="25">
        <f t="shared" si="6"/>
        <v>185.73947196117894</v>
      </c>
      <c r="AE41" s="25">
        <f>+(AD41)+'Agricultural production'!AJ42</f>
        <v>1016.0760359916612</v>
      </c>
    </row>
    <row r="42" spans="1:31" ht="15" x14ac:dyDescent="0.25">
      <c r="A42">
        <f t="shared" si="5"/>
        <v>1740</v>
      </c>
      <c r="B42" s="24">
        <f>+Population!AN43</f>
        <v>0.23050002050554141</v>
      </c>
      <c r="C42" s="25">
        <f>+Population!X43*Population!Z43*resteconomy!B42</f>
        <v>2063.0520290366308</v>
      </c>
      <c r="D42" s="25">
        <v>131.41719401414161</v>
      </c>
      <c r="E42" s="25">
        <f t="shared" si="0"/>
        <v>136542.11273709917</v>
      </c>
      <c r="F42" s="50">
        <v>19</v>
      </c>
      <c r="G42" s="25">
        <f t="shared" si="1"/>
        <v>57680.521221032039</v>
      </c>
      <c r="H42" s="25">
        <f>+('Livestock in possession'!R42+'Livestock in possession'!T42/2)*'Agricultural production'!Z43*0.1</f>
        <v>17262.249038807953</v>
      </c>
      <c r="I42" s="25">
        <f>+'Agricultural production'!Q43*'Agricultural production'!AE43*0.2</f>
        <v>40418.272182224086</v>
      </c>
      <c r="K42" s="25">
        <f>+O42*'Agricultural production'!C43</f>
        <v>48807.989690721566</v>
      </c>
      <c r="M42" s="25">
        <f t="shared" si="2"/>
        <v>4745.1216000000004</v>
      </c>
      <c r="N42" s="25">
        <f>+'Gross receipts from VOC sales'!B44*0.2</f>
        <v>10798.773745173747</v>
      </c>
      <c r="O42" s="25">
        <v>52.061855670103</v>
      </c>
      <c r="P42" s="25"/>
      <c r="Q42" s="25">
        <f t="shared" si="3"/>
        <v>258574.51899402656</v>
      </c>
      <c r="R42" s="25">
        <f>+Q42/(Population!AN43*Population!X43)</f>
        <v>91.05972378103354</v>
      </c>
      <c r="S42" s="25"/>
      <c r="T42" s="78">
        <v>98.856700000000004</v>
      </c>
      <c r="U42" s="76">
        <v>96</v>
      </c>
      <c r="V42" s="25">
        <f t="shared" si="4"/>
        <v>41641.719401414157</v>
      </c>
      <c r="W42" s="25">
        <f>+('Livestock in possession'!I45-'Livestock in possession'!I40)/5</f>
        <v>4025.0200421973886</v>
      </c>
      <c r="X42" s="25">
        <f>+('Livestock in possession'!J45-'Livestock in possession'!J40)/5</f>
        <v>2463.2922728529434</v>
      </c>
      <c r="Y42" s="25">
        <f>+('Livestock in possession'!B45-'Livestock in possession'!B40)*'Livestock in possession'!F42/5</f>
        <v>414.16683204081198</v>
      </c>
      <c r="Z42" s="25">
        <f>+('Agricultural production'!H46-'Agricultural production'!H41+'Agricultural production'!J46-'Agricultural production'!J41+'Agricultural production'!L46-'Agricultural production'!L41)*'Agricultural production'!W43*2*'Agricultural production'!AE43/5</f>
        <v>2238.08</v>
      </c>
      <c r="AA42" s="25">
        <f>+('Agricultural production'!B46-'Agricultural production'!B41)/5</f>
        <v>19300</v>
      </c>
      <c r="AB42" s="25">
        <v>5907.5810136154605</v>
      </c>
      <c r="AC42" s="25">
        <f>+W42*'Agricultural production'!Z41*300*1.5+46*'Agricultural production'!Z41*resteconomy!X42+resteconomy!Y42*100</f>
        <v>221845.16416096184</v>
      </c>
      <c r="AD42" s="25">
        <f t="shared" si="6"/>
        <v>229.99082517457728</v>
      </c>
      <c r="AE42" s="25">
        <f>+(AD42)+'Agricultural production'!AJ43</f>
        <v>1137.1665569589147</v>
      </c>
    </row>
    <row r="43" spans="1:31" ht="15" x14ac:dyDescent="0.25">
      <c r="A43">
        <f t="shared" si="5"/>
        <v>1741</v>
      </c>
      <c r="B43" s="24">
        <f>+Population!AN44</f>
        <v>0.24088981560303568</v>
      </c>
      <c r="C43" s="25">
        <f>+Population!X44*Population!Z44*resteconomy!B43</f>
        <v>2390.565664077531</v>
      </c>
      <c r="D43" s="25">
        <v>27.110949787481786</v>
      </c>
      <c r="E43" s="25">
        <f t="shared" si="0"/>
        <v>141177.11552631459</v>
      </c>
      <c r="F43" s="50">
        <v>19</v>
      </c>
      <c r="G43" s="25">
        <f t="shared" si="1"/>
        <v>63256.511013432188</v>
      </c>
      <c r="H43" s="25">
        <f>+('Livestock in possession'!R43+'Livestock in possession'!T43/2)*'Agricultural production'!Z44*0.1</f>
        <v>19187.087568252547</v>
      </c>
      <c r="I43" s="25">
        <f>+'Agricultural production'!Q44*'Agricultural production'!AE44*0.2</f>
        <v>44069.423445179644</v>
      </c>
      <c r="K43" s="25">
        <f>+O43*'Agricultural production'!C44</f>
        <v>38876.29166666665</v>
      </c>
      <c r="M43" s="25">
        <f t="shared" si="2"/>
        <v>3734.8595700000001</v>
      </c>
      <c r="N43" s="25">
        <f>+'Gross receipts from VOC sales'!B45*0.2</f>
        <v>24949.281081081081</v>
      </c>
      <c r="O43" s="25">
        <v>37.799019607843121</v>
      </c>
      <c r="P43" s="25"/>
      <c r="Q43" s="25">
        <f t="shared" si="3"/>
        <v>271994.0588574945</v>
      </c>
      <c r="R43" s="25">
        <f>+Q43/(Population!AN44*Population!X44)</f>
        <v>85.077570414480832</v>
      </c>
      <c r="S43" s="25"/>
      <c r="T43" s="78">
        <v>95.765630000000002</v>
      </c>
      <c r="U43" s="76">
        <v>78</v>
      </c>
      <c r="V43" s="25">
        <f t="shared" si="4"/>
        <v>31211.094978748166</v>
      </c>
      <c r="W43" s="25">
        <f>+('Livestock in possession'!I46-'Livestock in possession'!I41)/5</f>
        <v>2688.9778416403715</v>
      </c>
      <c r="X43" s="25">
        <f>+('Livestock in possession'!J46-'Livestock in possession'!J41)/5</f>
        <v>5523.0364270827031</v>
      </c>
      <c r="Y43" s="25">
        <f>+('Livestock in possession'!B46-'Livestock in possession'!B41)*'Livestock in possession'!F43/5</f>
        <v>349.1819999999999</v>
      </c>
      <c r="Z43" s="25">
        <f>+('Agricultural production'!H47-'Agricultural production'!H42+'Agricultural production'!J47-'Agricultural production'!J42+'Agricultural production'!L47-'Agricultural production'!L42)*'Agricultural production'!W44*2*'Agricultural production'!AE44/5</f>
        <v>-740.48</v>
      </c>
      <c r="AA43" s="25">
        <f>+('Agricultural production'!B47-'Agricultural production'!B42)/5</f>
        <v>101260</v>
      </c>
      <c r="AB43" s="25">
        <v>34253.851604909927</v>
      </c>
      <c r="AC43" s="25">
        <f>+W43*'Agricultural production'!Z42*300*1.5+46*'Agricultural production'!Z42*resteconomy!X43+resteconomy!Y43*100</f>
        <v>172177.54728599734</v>
      </c>
      <c r="AD43" s="25">
        <f t="shared" si="6"/>
        <v>205.69091889090726</v>
      </c>
      <c r="AE43" s="25">
        <f>+(AD43)+'Agricultural production'!AJ44</f>
        <v>1382.3332757973803</v>
      </c>
    </row>
    <row r="44" spans="1:31" ht="15" x14ac:dyDescent="0.25">
      <c r="A44">
        <f t="shared" si="5"/>
        <v>1742</v>
      </c>
      <c r="B44" s="24">
        <f>+Population!AN45</f>
        <v>0.23296541909136845</v>
      </c>
      <c r="C44" s="25">
        <f>+Population!X45*Population!Z45*resteconomy!B44</f>
        <v>2108.9123882944086</v>
      </c>
      <c r="D44" s="25">
        <v>0</v>
      </c>
      <c r="E44" s="25">
        <f t="shared" si="0"/>
        <v>131509.96986154281</v>
      </c>
      <c r="F44" s="50">
        <v>23</v>
      </c>
      <c r="G44" s="25">
        <f t="shared" si="1"/>
        <v>55478.353772871356</v>
      </c>
      <c r="H44" s="25">
        <f>+('Livestock in possession'!R44+'Livestock in possession'!T44/2)*'Agricultural production'!Z45*0.1</f>
        <v>14449.026243254688</v>
      </c>
      <c r="I44" s="25">
        <f>+'Agricultural production'!Q45*'Agricultural production'!AE45*0.2</f>
        <v>41029.327529616668</v>
      </c>
      <c r="K44" s="25">
        <f>+O44*'Agricultural production'!C45</f>
        <v>44340.65625</v>
      </c>
      <c r="M44" s="25">
        <f t="shared" si="2"/>
        <v>1669.3054</v>
      </c>
      <c r="N44" s="25">
        <f>+'Gross receipts from VOC sales'!B46*0.2</f>
        <v>26159.729729729734</v>
      </c>
      <c r="O44" s="25">
        <v>36.8125</v>
      </c>
      <c r="P44" s="25"/>
      <c r="Q44" s="25">
        <f t="shared" si="3"/>
        <v>259158.01501414389</v>
      </c>
      <c r="R44" s="25">
        <f>+Q44/(Population!AN45*Population!X45)</f>
        <v>89.54174252402818</v>
      </c>
      <c r="S44" s="25"/>
      <c r="T44" s="78">
        <v>119.23609999999999</v>
      </c>
      <c r="U44" s="76">
        <v>28</v>
      </c>
      <c r="V44" s="25">
        <f t="shared" si="4"/>
        <v>34500</v>
      </c>
      <c r="W44" s="25">
        <f>+('Livestock in possession'!I47-'Livestock in possession'!I42)/5</f>
        <v>1066.1143365061246</v>
      </c>
      <c r="X44" s="25">
        <f>+('Livestock in possession'!J47-'Livestock in possession'!J42)/5</f>
        <v>3617.7927044115613</v>
      </c>
      <c r="Y44" s="25">
        <f>+('Livestock in possession'!B47-'Livestock in possession'!B42)*'Livestock in possession'!F44/5</f>
        <v>360.75537646546439</v>
      </c>
      <c r="Z44" s="25">
        <f>+('Agricultural production'!H48-'Agricultural production'!H43+'Agricultural production'!J48-'Agricultural production'!J43+'Agricultural production'!L48-'Agricultural production'!L43)*'Agricultural production'!W45*2*'Agricultural production'!AE45/5</f>
        <v>-2788.2400000000002</v>
      </c>
      <c r="AA44" s="25">
        <f>+('Agricultural production'!B48-'Agricultural production'!B43)/5</f>
        <v>121640</v>
      </c>
      <c r="AB44" s="25">
        <v>42705.562800451473</v>
      </c>
      <c r="AC44" s="25">
        <f>+W44*'Agricultural production'!Z43*300*1.5+46*'Agricultural production'!Z43*resteconomy!X44+resteconomy!Y44*100</f>
        <v>96653.967255673444</v>
      </c>
      <c r="AD44" s="25">
        <f t="shared" si="6"/>
        <v>136.57129005612492</v>
      </c>
      <c r="AE44" s="25">
        <f>+(AD44)+'Agricultural production'!AJ45</f>
        <v>1184.8392023127726</v>
      </c>
    </row>
    <row r="45" spans="1:31" ht="15" x14ac:dyDescent="0.25">
      <c r="A45">
        <f t="shared" si="5"/>
        <v>1743</v>
      </c>
      <c r="B45" s="24">
        <f>+Population!AN46</f>
        <v>0.23280287780427547</v>
      </c>
      <c r="C45" s="25">
        <f>+Population!X46*Population!Z46*resteconomy!B45</f>
        <v>2001.9521145038732</v>
      </c>
      <c r="D45" s="25">
        <v>0</v>
      </c>
      <c r="E45" s="25">
        <f t="shared" si="0"/>
        <v>126589.79726717818</v>
      </c>
      <c r="F45" s="50">
        <v>23</v>
      </c>
      <c r="G45" s="25">
        <f t="shared" si="1"/>
        <v>53053.115189573509</v>
      </c>
      <c r="H45" s="25">
        <f>+('Livestock in possession'!R45+'Livestock in possession'!T45/2)*'Agricultural production'!Z46*0.1</f>
        <v>13563.179820537003</v>
      </c>
      <c r="I45" s="25">
        <f>+'Agricultural production'!Q46*'Agricultural production'!AE46*0.2</f>
        <v>39489.935369036502</v>
      </c>
      <c r="K45" s="25">
        <f>+O45*'Agricultural production'!C46</f>
        <v>113081.47277706212</v>
      </c>
      <c r="M45" s="25">
        <f t="shared" si="2"/>
        <v>3517.45847</v>
      </c>
      <c r="N45" s="25">
        <f>+'Gross receipts from VOC sales'!B47*0.2</f>
        <v>27542.63320463321</v>
      </c>
      <c r="O45" s="25">
        <v>57.068621134020752</v>
      </c>
      <c r="P45" s="25"/>
      <c r="Q45" s="25">
        <f t="shared" si="3"/>
        <v>323784.47690844705</v>
      </c>
      <c r="R45" s="25">
        <f>+Q45/(Population!AN46*Population!X46)</f>
        <v>115.77157739967203</v>
      </c>
      <c r="S45" s="25"/>
      <c r="T45" s="78">
        <v>85.791669999999996</v>
      </c>
      <c r="U45" s="76">
        <v>82</v>
      </c>
      <c r="V45" s="25">
        <f t="shared" si="4"/>
        <v>34500</v>
      </c>
      <c r="W45" s="25">
        <f>+('Livestock in possession'!I48-'Livestock in possession'!I43)/5</f>
        <v>804.14336082924854</v>
      </c>
      <c r="X45" s="25">
        <f>+('Livestock in possession'!J48-'Livestock in possession'!J43)/5</f>
        <v>9660.6972403004183</v>
      </c>
      <c r="Y45" s="25">
        <f>+('Livestock in possession'!B48-'Livestock in possession'!B43)*'Livestock in possession'!F45/5</f>
        <v>483.68341283897945</v>
      </c>
      <c r="Z45" s="25">
        <f>+('Agricultural production'!H49-'Agricultural production'!H44+'Agricultural production'!J49-'Agricultural production'!J44+'Agricultural production'!L49-'Agricultural production'!L44)*'Agricultural production'!W46*2*'Agricultural production'!AE46/5</f>
        <v>-1424.8</v>
      </c>
      <c r="AA45" s="25">
        <f>+('Agricultural production'!B49-'Agricultural production'!B44)/5</f>
        <v>159400</v>
      </c>
      <c r="AB45" s="25">
        <v>59623.316882373241</v>
      </c>
      <c r="AC45" s="25">
        <f>+W45*'Agricultural production'!Z44*300*1.5+46*'Agricultural production'!Z44*resteconomy!X45+resteconomy!Y45*100</f>
        <v>123954.89616767743</v>
      </c>
      <c r="AD45" s="25">
        <f t="shared" si="6"/>
        <v>182.15341305005066</v>
      </c>
      <c r="AE45" s="25">
        <f>+(AD45)+'Agricultural production'!AJ46</f>
        <v>1190.7525406770478</v>
      </c>
    </row>
    <row r="46" spans="1:31" ht="15" x14ac:dyDescent="0.25">
      <c r="A46">
        <f t="shared" si="5"/>
        <v>1744</v>
      </c>
      <c r="B46" s="24">
        <f>+Population!AN47</f>
        <v>0.22448825825409627</v>
      </c>
      <c r="C46" s="25">
        <f>+Population!X47*Population!Z47*resteconomy!B46</f>
        <v>1964.6337155432088</v>
      </c>
      <c r="D46" s="25">
        <v>52.824219541308821</v>
      </c>
      <c r="E46" s="25">
        <f t="shared" si="0"/>
        <v>142155.57286911848</v>
      </c>
      <c r="F46" s="50">
        <v>31</v>
      </c>
      <c r="G46" s="25">
        <f t="shared" si="1"/>
        <v>47196.10307246921</v>
      </c>
      <c r="H46" s="25">
        <f>+('Livestock in possession'!R46+'Livestock in possession'!T46/2)*'Agricultural production'!Z47*0.1</f>
        <v>15086.864691394971</v>
      </c>
      <c r="I46" s="25">
        <f>+'Agricultural production'!Q47*'Agricultural production'!AE47*0.2</f>
        <v>32109.238381074243</v>
      </c>
      <c r="K46" s="25">
        <f>+O46*'Agricultural production'!C47</f>
        <v>110888.74226804146</v>
      </c>
      <c r="M46" s="25">
        <f t="shared" si="2"/>
        <v>4474.3896000000004</v>
      </c>
      <c r="N46" s="25">
        <f>+'Gross receipts from VOC sales'!B48*0.2</f>
        <v>18661.850965250964</v>
      </c>
      <c r="O46" s="25">
        <v>50.680412371134125</v>
      </c>
      <c r="P46" s="25"/>
      <c r="Q46" s="25">
        <f t="shared" si="3"/>
        <v>323376.65877488011</v>
      </c>
      <c r="R46" s="25">
        <f>+Q46/(Population!AN47*Population!X47)</f>
        <v>118.54567193541028</v>
      </c>
      <c r="S46" s="25"/>
      <c r="T46" s="78">
        <v>124.2886</v>
      </c>
      <c r="U46" s="76">
        <v>72</v>
      </c>
      <c r="V46" s="25">
        <f t="shared" si="4"/>
        <v>51782.421954130856</v>
      </c>
      <c r="W46" s="25">
        <f>+('Livestock in possession'!I49-'Livestock in possession'!I44)/5</f>
        <v>-882.91326516582626</v>
      </c>
      <c r="X46" s="25">
        <f>+('Livestock in possession'!J49-'Livestock in possession'!J44)/5</f>
        <v>1155.953600144107</v>
      </c>
      <c r="Y46" s="25">
        <f>+('Livestock in possession'!B49-'Livestock in possession'!B44)*'Livestock in possession'!F46/5</f>
        <v>398.66433407286434</v>
      </c>
      <c r="Z46" s="25">
        <f>+('Agricultural production'!H50-'Agricultural production'!H45+'Agricultural production'!J50-'Agricultural production'!J45+'Agricultural production'!L50-'Agricultural production'!L45)*'Agricultural production'!W47*2*'Agricultural production'!AE47/5</f>
        <v>-2505.9839999999999</v>
      </c>
      <c r="AA46" s="25">
        <f>+('Agricultural production'!B50-'Agricultural production'!B45)/5</f>
        <v>182580</v>
      </c>
      <c r="AB46" s="25">
        <v>64992.009533075077</v>
      </c>
      <c r="AC46" s="25">
        <f>+W46*'Agricultural production'!Z45*300*1.5+46*'Agricultural production'!Z45*resteconomy!X46+resteconomy!Y46*100</f>
        <v>14117.603682672328</v>
      </c>
      <c r="AD46" s="25">
        <f t="shared" si="6"/>
        <v>76.603629215747404</v>
      </c>
      <c r="AE46" s="25">
        <f>+(AD46)+'Agricultural production'!AJ47</f>
        <v>918.29990632145837</v>
      </c>
    </row>
    <row r="47" spans="1:31" ht="15" x14ac:dyDescent="0.25">
      <c r="A47">
        <f t="shared" si="5"/>
        <v>1745</v>
      </c>
      <c r="B47" s="24">
        <f>+Population!AN48</f>
        <v>0.20964729854854483</v>
      </c>
      <c r="C47" s="25">
        <f>+Population!X48*Population!Z48*resteconomy!B47</f>
        <v>1861.5114870767134</v>
      </c>
      <c r="D47" s="25">
        <v>71.862286990931125</v>
      </c>
      <c r="E47" s="25">
        <f t="shared" si="0"/>
        <v>134815.75710462194</v>
      </c>
      <c r="F47" s="50">
        <v>28</v>
      </c>
      <c r="G47" s="25">
        <f t="shared" si="1"/>
        <v>43224.943889291957</v>
      </c>
      <c r="H47" s="25">
        <f>+('Livestock in possession'!R47+'Livestock in possession'!T47/2)*'Agricultural production'!Z48*0.1</f>
        <v>14572.492030973895</v>
      </c>
      <c r="I47" s="25">
        <f>+'Agricultural production'!Q48*'Agricultural production'!AE48*0.2</f>
        <v>28652.451858318058</v>
      </c>
      <c r="K47" s="25">
        <f>+O47*'Agricultural production'!C48</f>
        <v>101153.41182703305</v>
      </c>
      <c r="M47" s="25">
        <f t="shared" si="2"/>
        <v>6523.0804499999995</v>
      </c>
      <c r="N47" s="25">
        <f>+'Gross receipts from VOC sales'!B49*0.2</f>
        <v>20781.797683397686</v>
      </c>
      <c r="O47" s="25">
        <v>48.854581901489034</v>
      </c>
      <c r="P47" s="25"/>
      <c r="Q47" s="25">
        <f t="shared" si="3"/>
        <v>306498.99095434463</v>
      </c>
      <c r="R47" s="25">
        <f>+Q47/(Population!AN48*Population!X48)</f>
        <v>118.10882587616132</v>
      </c>
      <c r="S47" s="25"/>
      <c r="T47" s="78">
        <v>140.28129999999999</v>
      </c>
      <c r="U47" s="76">
        <v>93</v>
      </c>
      <c r="V47" s="25">
        <f t="shared" si="4"/>
        <v>49186.228699093117</v>
      </c>
      <c r="W47" s="25">
        <f>+('Livestock in possession'!I50-'Livestock in possession'!I45)/5</f>
        <v>-1126.7747276561961</v>
      </c>
      <c r="X47" s="25">
        <f>+('Livestock in possession'!J50-'Livestock in possession'!J45)/5</f>
        <v>-731.69912940987854</v>
      </c>
      <c r="Y47" s="25">
        <f>+('Livestock in possession'!B50-'Livestock in possession'!B45)*'Livestock in possession'!F47/5</f>
        <v>353.27251061155596</v>
      </c>
      <c r="Z47" s="25">
        <f>+('Agricultural production'!H51-'Agricultural production'!H46+'Agricultural production'!J51-'Agricultural production'!J46+'Agricultural production'!L51-'Agricultural production'!L46)*'Agricultural production'!W48*2*'Agricultural production'!AE48/5</f>
        <v>-1841.8400000000001</v>
      </c>
      <c r="AA47" s="25">
        <f>+('Agricultural production'!B51-'Agricultural production'!B46)/5</f>
        <v>110900</v>
      </c>
      <c r="AB47" s="25">
        <v>37454.114055951344</v>
      </c>
      <c r="AC47" s="25">
        <f>+W47*'Agricultural production'!Z46*300*1.5+46*'Agricultural production'!Z46*resteconomy!X47+resteconomy!Y47*100</f>
        <v>-5129.203210241154</v>
      </c>
      <c r="AD47" s="25">
        <f t="shared" si="6"/>
        <v>30.483070845710191</v>
      </c>
      <c r="AE47" s="25">
        <f>+(AD47)+'Agricultural production'!AJ48</f>
        <v>829.20247318466431</v>
      </c>
    </row>
    <row r="48" spans="1:31" ht="15" x14ac:dyDescent="0.25">
      <c r="A48">
        <f t="shared" si="5"/>
        <v>1746</v>
      </c>
      <c r="B48" s="24">
        <f>+Population!AN49</f>
        <v>0.21242631537319165</v>
      </c>
      <c r="C48" s="25">
        <f>+Population!X49*Population!Z49*resteconomy!B48</f>
        <v>1893.6451048771851</v>
      </c>
      <c r="D48" s="25">
        <v>79.289859187115553</v>
      </c>
      <c r="E48" s="25">
        <f t="shared" si="0"/>
        <v>137036.66074306209</v>
      </c>
      <c r="F48" s="50">
        <v>28</v>
      </c>
      <c r="G48" s="25">
        <f t="shared" si="1"/>
        <v>47374.463498073208</v>
      </c>
      <c r="H48" s="25">
        <f>+('Livestock in possession'!R48+'Livestock in possession'!T48/2)*'Agricultural production'!Z49*0.1</f>
        <v>14258.648559730334</v>
      </c>
      <c r="I48" s="25">
        <f>+'Agricultural production'!Q49*'Agricultural production'!AE49*0.2</f>
        <v>33115.814938342875</v>
      </c>
      <c r="K48" s="25">
        <f>+O48*'Agricultural production'!C49</f>
        <v>89316.949926361995</v>
      </c>
      <c r="M48" s="25">
        <f t="shared" si="2"/>
        <v>3329.8447499999997</v>
      </c>
      <c r="N48" s="25">
        <f>+'Gross receipts from VOC sales'!B50*0.2</f>
        <v>27111.437837837842</v>
      </c>
      <c r="O48" s="25">
        <v>42.807069219440208</v>
      </c>
      <c r="P48" s="25"/>
      <c r="Q48" s="25">
        <f t="shared" si="3"/>
        <v>304169.35675533512</v>
      </c>
      <c r="R48" s="25">
        <f>+Q48/(Population!AN49*Population!X49)</f>
        <v>114.13123166627895</v>
      </c>
      <c r="S48" s="25"/>
      <c r="T48" s="78">
        <v>147.9931</v>
      </c>
      <c r="U48" s="76">
        <v>45</v>
      </c>
      <c r="V48" s="25">
        <f t="shared" si="4"/>
        <v>49928.985918711565</v>
      </c>
      <c r="W48" s="25">
        <f>+('Livestock in possession'!I51-'Livestock in possession'!I46)/5</f>
        <v>126.03720532887819</v>
      </c>
      <c r="X48" s="25">
        <f>+('Livestock in possession'!J51-'Livestock in possession'!J46)/5</f>
        <v>4876.8646898700854</v>
      </c>
      <c r="Y48" s="25">
        <f>+('Livestock in possession'!B51-'Livestock in possession'!B46)*'Livestock in possession'!F48/5</f>
        <v>-5.920998871459993</v>
      </c>
      <c r="Z48" s="25">
        <f>+('Agricultural production'!H52-'Agricultural production'!H47+'Agricultural production'!J52-'Agricultural production'!J47+'Agricultural production'!L52-'Agricultural production'!L47)*'Agricultural production'!W49*2*'Agricultural production'!AE49/5</f>
        <v>-690.56000000000006</v>
      </c>
      <c r="AA48" s="25">
        <f>+('Agricultural production'!B52-'Agricultural production'!B47)/5</f>
        <v>129340</v>
      </c>
      <c r="AB48" s="25">
        <v>42033.69140306145</v>
      </c>
      <c r="AC48" s="25">
        <f>+W48*'Agricultural production'!Z47*300*1.5+46*'Agricultural production'!Z47*resteconomy!X48+resteconomy!Y48*100</f>
        <v>20436.651023089002</v>
      </c>
      <c r="AD48" s="25">
        <f t="shared" si="6"/>
        <v>61.779782426150454</v>
      </c>
      <c r="AE48" s="25">
        <f>+(AD48)+'Agricultural production'!AJ49</f>
        <v>989.33524524647908</v>
      </c>
    </row>
    <row r="49" spans="1:31" ht="15" x14ac:dyDescent="0.25">
      <c r="A49">
        <f t="shared" si="5"/>
        <v>1747</v>
      </c>
      <c r="B49" s="24">
        <f>+Population!AN50</f>
        <v>0.20609111255615103</v>
      </c>
      <c r="C49" s="25">
        <f>+Population!X50*Population!Z50*resteconomy!B49</f>
        <v>1886.273714708344</v>
      </c>
      <c r="D49" s="25">
        <v>84.499060118539091</v>
      </c>
      <c r="E49" s="25">
        <f t="shared" si="0"/>
        <v>147718.49688843774</v>
      </c>
      <c r="F49" s="50">
        <v>35</v>
      </c>
      <c r="G49" s="25">
        <f t="shared" si="1"/>
        <v>56174.050348382902</v>
      </c>
      <c r="H49" s="25">
        <f>+('Livestock in possession'!R49+'Livestock in possession'!T49/2)*'Agricultural production'!Z50*0.1</f>
        <v>22228.620835794616</v>
      </c>
      <c r="I49" s="25">
        <f>+'Agricultural production'!Q50*'Agricultural production'!AE50*0.2</f>
        <v>33945.429512588285</v>
      </c>
      <c r="K49" s="25">
        <f>+O49*'Agricultural production'!C50</f>
        <v>152275.76878221665</v>
      </c>
      <c r="M49" s="25">
        <f t="shared" si="2"/>
        <v>7225.3044499999996</v>
      </c>
      <c r="N49" s="25">
        <f>+'Gross receipts from VOC sales'!B51*0.2</f>
        <v>35249.113513513519</v>
      </c>
      <c r="O49" s="25">
        <v>52.337435567010367</v>
      </c>
      <c r="P49" s="25"/>
      <c r="Q49" s="25">
        <f t="shared" si="3"/>
        <v>398642.73398255085</v>
      </c>
      <c r="R49" s="25">
        <f>+Q49/(Population!AN50*Population!X50)</f>
        <v>150.37197270866497</v>
      </c>
      <c r="S49" s="25"/>
      <c r="T49" s="78">
        <v>182.91909999999999</v>
      </c>
      <c r="U49" s="76">
        <v>79</v>
      </c>
      <c r="V49" s="25">
        <f t="shared" si="4"/>
        <v>60949.90601185392</v>
      </c>
      <c r="W49" s="25">
        <f>+('Livestock in possession'!I52-'Livestock in possession'!I47)/5</f>
        <v>878.13274360419746</v>
      </c>
      <c r="X49" s="25">
        <f>+('Livestock in possession'!J52-'Livestock in possession'!J47)/5</f>
        <v>7413.9743425425022</v>
      </c>
      <c r="Y49" s="25">
        <f>+('Livestock in possession'!B52-'Livestock in possession'!B47)*'Livestock in possession'!F49/5</f>
        <v>-480.65420409348019</v>
      </c>
      <c r="Z49" s="25">
        <f>+('Agricultural production'!H53-'Agricultural production'!H48+'Agricultural production'!J53-'Agricultural production'!J48+'Agricultural production'!L53-'Agricultural production'!L48)*'Agricultural production'!W50*2*'Agricultural production'!AE50/5</f>
        <v>-3228.1600000000003</v>
      </c>
      <c r="AA49" s="25">
        <f>+('Agricultural production'!B53-'Agricultural production'!B48)/5</f>
        <v>184900</v>
      </c>
      <c r="AB49" s="25">
        <v>60748.865702618976</v>
      </c>
      <c r="AC49" s="25">
        <f>+W49*'Agricultural production'!Z48*300*1.5+46*'Agricultural production'!Z48*resteconomy!X49+resteconomy!Y49*100</f>
        <v>7018.3064272119154</v>
      </c>
      <c r="AD49" s="25">
        <f t="shared" si="6"/>
        <v>64.539012129830894</v>
      </c>
      <c r="AE49" s="25">
        <f>+(AD49)+'Agricultural production'!AJ50</f>
        <v>1018.804140834161</v>
      </c>
    </row>
    <row r="50" spans="1:31" ht="15" x14ac:dyDescent="0.25">
      <c r="A50">
        <f t="shared" si="5"/>
        <v>1748</v>
      </c>
      <c r="B50" s="24">
        <f>+Population!AN51</f>
        <v>0.20345424261436543</v>
      </c>
      <c r="C50" s="25">
        <f>+Population!X51*Population!Z51*resteconomy!B50</f>
        <v>1909.4425370448885</v>
      </c>
      <c r="D50" s="25">
        <v>71.683345422748516</v>
      </c>
      <c r="E50" s="25">
        <f t="shared" si="0"/>
        <v>135502.69124633973</v>
      </c>
      <c r="F50" s="50">
        <v>27</v>
      </c>
      <c r="G50" s="25">
        <f t="shared" si="1"/>
        <v>55532.245712584387</v>
      </c>
      <c r="H50" s="25">
        <f>+('Livestock in possession'!R50+'Livestock in possession'!T50/2)*'Agricultural production'!Z51*0.1</f>
        <v>20906.801531952966</v>
      </c>
      <c r="I50" s="25">
        <f>+'Agricultural production'!Q51*'Agricultural production'!AE51*0.2</f>
        <v>34625.444180631421</v>
      </c>
      <c r="K50" s="25">
        <f>+O50*'Agricultural production'!C51</f>
        <v>118525.27499999997</v>
      </c>
      <c r="M50" s="25">
        <f t="shared" si="2"/>
        <v>9459.8252499999999</v>
      </c>
      <c r="N50" s="25">
        <f>+'Gross receipts from VOC sales'!B52*0.2</f>
        <v>30165.200000000001</v>
      </c>
      <c r="O50" s="25">
        <v>50.489999999999988</v>
      </c>
      <c r="P50" s="25"/>
      <c r="Q50" s="25">
        <f t="shared" si="3"/>
        <v>349185.23720892414</v>
      </c>
      <c r="R50" s="25">
        <f>+Q50/(Population!AN51*Population!X51)</f>
        <v>130.96966354912786</v>
      </c>
      <c r="S50" s="25"/>
      <c r="T50" s="78">
        <v>164.5187</v>
      </c>
      <c r="U50" s="76">
        <v>115</v>
      </c>
      <c r="V50" s="25">
        <f t="shared" si="4"/>
        <v>47668.334542274853</v>
      </c>
      <c r="W50" s="25">
        <f>+('Livestock in possession'!I53-'Livestock in possession'!I48)/5</f>
        <v>3.6738591888191876</v>
      </c>
      <c r="X50" s="25">
        <f>+('Livestock in possession'!J53-'Livestock in possession'!J48)/5</f>
        <v>5328.785780845571</v>
      </c>
      <c r="Y50" s="25">
        <f>+('Livestock in possession'!B53-'Livestock in possession'!B48)*'Livestock in possession'!F50/5</f>
        <v>-551.87759101464121</v>
      </c>
      <c r="Z50" s="25">
        <f>+('Agricultural production'!H54-'Agricultural production'!H49+'Agricultural production'!J54-'Agricultural production'!J49+'Agricultural production'!L54-'Agricultural production'!L49)*'Agricultural production'!W51*2*'Agricultural production'!AE51/5</f>
        <v>-1223.0400000000002</v>
      </c>
      <c r="AA50" s="25">
        <f>+('Agricultural production'!B54-'Agricultural production'!B49)/5</f>
        <v>139400</v>
      </c>
      <c r="AB50" s="25">
        <v>45858.794476133997</v>
      </c>
      <c r="AC50" s="25">
        <f>+W50*'Agricultural production'!Z49*300*1.5+46*'Agricultural production'!Z49*resteconomy!X50+resteconomy!Y50*100</f>
        <v>-36723.522799666011</v>
      </c>
      <c r="AD50" s="25">
        <f t="shared" si="6"/>
        <v>7.9122316764679859</v>
      </c>
      <c r="AE50" s="25">
        <f>+(AD50)+'Agricultural production'!AJ51</f>
        <v>898.39511199799483</v>
      </c>
    </row>
    <row r="51" spans="1:31" ht="15" x14ac:dyDescent="0.25">
      <c r="A51">
        <f t="shared" si="5"/>
        <v>1749</v>
      </c>
      <c r="B51" s="24">
        <f>+Population!AN52</f>
        <v>0.2367841112090294</v>
      </c>
      <c r="C51" s="25">
        <f>+Population!X52*Population!Z52*resteconomy!B51</f>
        <v>2223.6962240552234</v>
      </c>
      <c r="D51" s="25">
        <v>161.64501112369317</v>
      </c>
      <c r="E51" s="25">
        <f t="shared" si="0"/>
        <v>170954.52741890962</v>
      </c>
      <c r="F51" s="50">
        <v>35</v>
      </c>
      <c r="G51" s="25">
        <f t="shared" si="1"/>
        <v>56380.095691861759</v>
      </c>
      <c r="H51" s="25">
        <f>+('Livestock in possession'!R51+'Livestock in possession'!T51/2)*'Agricultural production'!Z52*0.1</f>
        <v>21684.762892102415</v>
      </c>
      <c r="I51" s="25">
        <f>+'Agricultural production'!Q52*'Agricultural production'!AE52*0.2</f>
        <v>34695.332799759344</v>
      </c>
      <c r="K51" s="25">
        <f>+O51*'Agricultural production'!C52</f>
        <v>103999.359375</v>
      </c>
      <c r="M51" s="25">
        <f t="shared" si="2"/>
        <v>3948.4488000000001</v>
      </c>
      <c r="N51" s="25">
        <f>+'Gross receipts from VOC sales'!B53*0.2</f>
        <v>25795.600000000002</v>
      </c>
      <c r="O51" s="25">
        <v>48.768749999999997</v>
      </c>
      <c r="P51" s="25"/>
      <c r="Q51" s="25">
        <f t="shared" si="3"/>
        <v>361078.0312857714</v>
      </c>
      <c r="R51" s="25">
        <f>+Q51/(Population!AN52*Population!X52)</f>
        <v>115.41912208199543</v>
      </c>
      <c r="S51" s="25"/>
      <c r="T51" s="78">
        <v>164.5187</v>
      </c>
      <c r="U51" s="76">
        <v>48</v>
      </c>
      <c r="V51" s="25">
        <f t="shared" si="4"/>
        <v>68664.50111236934</v>
      </c>
      <c r="W51" s="25">
        <f>+('Livestock in possession'!I54-'Livestock in possession'!I49)/5</f>
        <v>1458.4082857832386</v>
      </c>
      <c r="X51" s="25">
        <f>+('Livestock in possession'!J54-'Livestock in possession'!J49)/5</f>
        <v>15641.714401025814</v>
      </c>
      <c r="Y51" s="25">
        <f>+('Livestock in possession'!B54-'Livestock in possession'!B49)*'Livestock in possession'!F51/5</f>
        <v>-408.81822397037286</v>
      </c>
      <c r="Z51" s="25">
        <f>+('Agricultural production'!H55-'Agricultural production'!H50+'Agricultural production'!J55-'Agricultural production'!J50+'Agricultural production'!L55-'Agricultural production'!L50)*'Agricultural production'!W52*2*'Agricultural production'!AE52/5</f>
        <v>489.47200000000004</v>
      </c>
      <c r="AA51" s="25">
        <f>+('Agricultural production'!B55-'Agricultural production'!B50)/5</f>
        <v>130900</v>
      </c>
      <c r="AB51" s="25">
        <v>40782.526744730523</v>
      </c>
      <c r="AC51" s="25">
        <f>+W51*'Agricultural production'!Z50*300*1.5+46*'Agricultural production'!Z50*resteconomy!X51+resteconomy!Y51*100</f>
        <v>108982.3884137276</v>
      </c>
      <c r="AD51" s="25">
        <f t="shared" si="6"/>
        <v>150.25438715845812</v>
      </c>
      <c r="AE51" s="25">
        <f>+(AD51)+'Agricultural production'!AJ52</f>
        <v>1179.8471041339469</v>
      </c>
    </row>
    <row r="52" spans="1:31" ht="15" x14ac:dyDescent="0.25">
      <c r="A52">
        <f t="shared" si="5"/>
        <v>1750</v>
      </c>
      <c r="B52" s="24">
        <f>+Population!AN53</f>
        <v>0.22611663066004214</v>
      </c>
      <c r="C52" s="25">
        <f>+Population!X53*Population!Z53*resteconomy!B52</f>
        <v>2245.4065574639262</v>
      </c>
      <c r="D52" s="25">
        <v>165.8471646502735</v>
      </c>
      <c r="E52" s="25">
        <f t="shared" si="0"/>
        <v>200873.418108368</v>
      </c>
      <c r="F52" s="50">
        <v>54</v>
      </c>
      <c r="G52" s="25">
        <f t="shared" si="1"/>
        <v>59804.902234717803</v>
      </c>
      <c r="H52" s="25">
        <f>+('Livestock in possession'!R52+'Livestock in possession'!T52/2)*'Agricultural production'!Z53*0.1</f>
        <v>23092.139107476803</v>
      </c>
      <c r="I52" s="25">
        <f>+'Agricultural production'!Q53*'Agricultural production'!AE53*0.2</f>
        <v>36712.763127241</v>
      </c>
      <c r="K52" s="25">
        <f>+O52*'Agricultural production'!C53</f>
        <v>210485.92499999999</v>
      </c>
      <c r="M52" s="25">
        <f t="shared" si="2"/>
        <v>8225.9349999999995</v>
      </c>
      <c r="N52" s="25">
        <f>+'Gross receipts from VOC sales'!B54*0.2</f>
        <v>30273.800000000003</v>
      </c>
      <c r="O52" s="25">
        <v>48.768749999999997</v>
      </c>
      <c r="P52" s="25"/>
      <c r="Q52" s="25">
        <f t="shared" si="3"/>
        <v>509663.98034308577</v>
      </c>
      <c r="R52" s="25">
        <f>+Q52/(Population!AN53*Population!X53)</f>
        <v>161.02395629893167</v>
      </c>
      <c r="S52" s="25"/>
      <c r="T52" s="78">
        <v>164.5187</v>
      </c>
      <c r="U52" s="76">
        <v>100</v>
      </c>
      <c r="V52" s="25">
        <f t="shared" si="4"/>
        <v>97584.716465027377</v>
      </c>
      <c r="W52" s="25">
        <f>+('Livestock in possession'!I55-'Livestock in possession'!I50)/5</f>
        <v>2327.2937454891303</v>
      </c>
      <c r="X52" s="25">
        <f>+('Livestock in possession'!J55-'Livestock in possession'!J50)/5</f>
        <v>20588.254063660723</v>
      </c>
      <c r="Y52" s="25">
        <f>+('Livestock in possession'!B55-'Livestock in possession'!B50)*'Livestock in possession'!F52/5</f>
        <v>-237.13984834576962</v>
      </c>
      <c r="Z52" s="25">
        <f>+('Agricultural production'!H56-'Agricultural production'!H51+'Agricultural production'!J56-'Agricultural production'!J51+'Agricultural production'!L56-'Agricultural production'!L51)*'Agricultural production'!W53*2*'Agricultural production'!AE53/5</f>
        <v>569.34400000000005</v>
      </c>
      <c r="AA52" s="25">
        <f>+('Agricultural production'!B56-'Agricultural production'!B51)/5</f>
        <v>188600</v>
      </c>
      <c r="AB52" s="25">
        <v>57751.229551128905</v>
      </c>
      <c r="AC52" s="25">
        <f>+W52*'Agricultural production'!Z51*300*1.5+46*'Agricultural production'!Z51*resteconomy!X52+resteconomy!Y52*100</f>
        <v>164680.09561163868</v>
      </c>
      <c r="AD52" s="25">
        <f t="shared" si="6"/>
        <v>223.00066916276759</v>
      </c>
      <c r="AE52" s="25">
        <f>+(AD52)+'Agricultural production'!AJ53</f>
        <v>1497.5069845218691</v>
      </c>
    </row>
    <row r="53" spans="1:31" ht="15" x14ac:dyDescent="0.25">
      <c r="A53">
        <f t="shared" si="5"/>
        <v>1751</v>
      </c>
      <c r="B53" s="24">
        <f>+Population!AN54</f>
        <v>0.23077045109533542</v>
      </c>
      <c r="C53" s="25">
        <f>+Population!X54*Population!Z54*resteconomy!B53</f>
        <v>2364.9695150504363</v>
      </c>
      <c r="D53" s="25">
        <v>171.63502855544311</v>
      </c>
      <c r="E53" s="25">
        <f t="shared" si="0"/>
        <v>187452.10054786439</v>
      </c>
      <c r="F53" s="50">
        <v>41</v>
      </c>
      <c r="G53" s="25">
        <f t="shared" si="1"/>
        <v>59319.166470449811</v>
      </c>
      <c r="H53" s="25">
        <f>+('Livestock in possession'!R53+'Livestock in possession'!T53/2)*'Agricultural production'!Z54*0.1</f>
        <v>21758.171364245442</v>
      </c>
      <c r="I53" s="25">
        <f>+'Agricultural production'!Q54*'Agricultural production'!AE54*0.2</f>
        <v>37560.995106204369</v>
      </c>
      <c r="K53" s="25">
        <f>+O53*'Agricultural production'!C54</f>
        <v>144867.57187499999</v>
      </c>
      <c r="M53" s="25">
        <f t="shared" si="2"/>
        <v>3125.8552999999997</v>
      </c>
      <c r="N53" s="25">
        <f>+'Gross receipts from VOC sales'!B55*0.2</f>
        <v>22668.800000000003</v>
      </c>
      <c r="O53" s="25">
        <v>48.768749999999997</v>
      </c>
      <c r="P53" s="25"/>
      <c r="Q53" s="25">
        <f t="shared" si="3"/>
        <v>417433.49419331417</v>
      </c>
      <c r="R53" s="25">
        <f>+Q53/(Population!AN54*Population!X54)</f>
        <v>126.7414047782851</v>
      </c>
      <c r="S53" s="25"/>
      <c r="T53" s="78">
        <v>164.5187</v>
      </c>
      <c r="U53" s="76">
        <v>38</v>
      </c>
      <c r="V53" s="25">
        <f t="shared" si="4"/>
        <v>78663.502855544313</v>
      </c>
      <c r="W53" s="25">
        <f>+('Livestock in possession'!I56-'Livestock in possession'!I51)/5</f>
        <v>2504.3920305488996</v>
      </c>
      <c r="X53" s="25">
        <f>+('Livestock in possession'!J56-'Livestock in possession'!J51)/5</f>
        <v>17444.351257959359</v>
      </c>
      <c r="Y53" s="25">
        <f>+('Livestock in possession'!B56-'Livestock in possession'!B51)*'Livestock in possession'!F53/5</f>
        <v>132.65927209980586</v>
      </c>
      <c r="Z53" s="25">
        <f>+('Agricultural production'!H57-'Agricultural production'!H52+'Agricultural production'!J57-'Agricultural production'!J52+'Agricultural production'!L57-'Agricultural production'!L52)*'Agricultural production'!W54*2*'Agricultural production'!AE54/5</f>
        <v>374.78399999999999</v>
      </c>
      <c r="AA53" s="25">
        <f>+('Agricultural production'!B57-'Agricultural production'!B52)/5</f>
        <v>132260</v>
      </c>
      <c r="AB53" s="25">
        <v>39223.339113902977</v>
      </c>
      <c r="AC53" s="25">
        <f>+W53*'Agricultural production'!Z52*300*1.5+46*'Agricultural production'!Z52*resteconomy!X53+resteconomy!Y53*100</f>
        <v>216199.20590286219</v>
      </c>
      <c r="AD53" s="25">
        <f t="shared" si="6"/>
        <v>255.79732901676516</v>
      </c>
      <c r="AE53" s="25">
        <f>+(AD53)+'Agricultural production'!AJ54</f>
        <v>1531.0374103313561</v>
      </c>
    </row>
    <row r="54" spans="1:31" ht="15" x14ac:dyDescent="0.25">
      <c r="A54">
        <f t="shared" si="5"/>
        <v>1752</v>
      </c>
      <c r="B54" s="24">
        <f>+Population!AN55</f>
        <v>0.22243687485006622</v>
      </c>
      <c r="C54" s="25">
        <f>+Population!X55*Population!Z55*resteconomy!B54</f>
        <v>2431.9786360778071</v>
      </c>
      <c r="D54" s="25">
        <v>207.89951948924818</v>
      </c>
      <c r="E54" s="25">
        <f t="shared" si="0"/>
        <v>177660.96920850396</v>
      </c>
      <c r="F54" s="50">
        <v>30</v>
      </c>
      <c r="G54" s="25">
        <f t="shared" si="1"/>
        <v>63759.656520630517</v>
      </c>
      <c r="H54" s="25">
        <f>+('Livestock in possession'!R54+'Livestock in possession'!T54/2)*'Agricultural production'!Z55*0.1</f>
        <v>23915.193165563651</v>
      </c>
      <c r="I54" s="25">
        <f>+'Agricultural production'!Q55*'Agricultural production'!AE55*0.2</f>
        <v>39844.463355066866</v>
      </c>
      <c r="K54" s="25">
        <f>+O54*'Agricultural production'!C55</f>
        <v>100000.32187499999</v>
      </c>
      <c r="M54" s="25">
        <f t="shared" si="2"/>
        <v>13984.0895</v>
      </c>
      <c r="N54" s="25">
        <f>+'Gross receipts from VOC sales'!B56*0.2</f>
        <v>30370.600000000002</v>
      </c>
      <c r="O54" s="25">
        <v>48.768749999999997</v>
      </c>
      <c r="P54" s="25"/>
      <c r="Q54" s="25">
        <f t="shared" si="3"/>
        <v>385775.63710413448</v>
      </c>
      <c r="R54" s="25">
        <f>+Q54/(Population!AN55*Population!X55)</f>
        <v>114.81221951292255</v>
      </c>
      <c r="S54" s="25"/>
      <c r="T54" s="78">
        <v>164.5187</v>
      </c>
      <c r="U54" s="76">
        <v>170</v>
      </c>
      <c r="V54" s="25">
        <f t="shared" si="4"/>
        <v>65789.95194892482</v>
      </c>
      <c r="W54" s="25">
        <f>+('Livestock in possession'!I57-'Livestock in possession'!I52)/5</f>
        <v>2759.6224381899565</v>
      </c>
      <c r="X54" s="25">
        <f>+('Livestock in possession'!J57-'Livestock in possession'!J52)/5</f>
        <v>16401.45702875721</v>
      </c>
      <c r="Y54" s="25">
        <f>+('Livestock in possession'!B57-'Livestock in possession'!B52)*'Livestock in possession'!F54/5</f>
        <v>724.10399999999925</v>
      </c>
      <c r="Z54" s="25">
        <f>+('Agricultural production'!H58-'Agricultural production'!H53+'Agricultural production'!J58-'Agricultural production'!J53+'Agricultural production'!L58-'Agricultural production'!L53)*'Agricultural production'!W55*2*'Agricultural production'!AE55/5</f>
        <v>309.24800000000005</v>
      </c>
      <c r="AA54" s="25">
        <f>+('Agricultural production'!B58-'Agricultural production'!B53)/5</f>
        <v>129900</v>
      </c>
      <c r="AB54" s="25">
        <v>38673.691119581803</v>
      </c>
      <c r="AC54" s="25">
        <f>+W54*'Agricultural production'!Z53*300*1.5+46*'Agricultural production'!Z53*resteconomy!X54+resteconomy!Y54*100</f>
        <v>282378.07928203495</v>
      </c>
      <c r="AD54" s="25">
        <f t="shared" si="6"/>
        <v>321.36101840161678</v>
      </c>
      <c r="AE54" s="25">
        <f>+(AD54)+'Agricultural production'!AJ55</f>
        <v>1700.2187313458037</v>
      </c>
    </row>
    <row r="55" spans="1:31" ht="15" x14ac:dyDescent="0.25">
      <c r="A55">
        <f t="shared" si="5"/>
        <v>1753</v>
      </c>
      <c r="B55" s="24">
        <f>+Population!AN56</f>
        <v>0.23528701614779537</v>
      </c>
      <c r="C55" s="25">
        <f>+Population!X56*Population!Z56*resteconomy!B55</f>
        <v>2628.2175851420761</v>
      </c>
      <c r="D55" s="25">
        <v>97.306755321737</v>
      </c>
      <c r="E55" s="25">
        <f t="shared" si="0"/>
        <v>201128.68444870925</v>
      </c>
      <c r="F55" s="50">
        <v>47</v>
      </c>
      <c r="G55" s="25">
        <f t="shared" si="1"/>
        <v>65179.164005729734</v>
      </c>
      <c r="H55" s="25">
        <f>+('Livestock in possession'!R55+'Livestock in possession'!T55/2)*'Agricultural production'!Z56*0.1</f>
        <v>24268.238663718908</v>
      </c>
      <c r="I55" s="25">
        <f>+'Agricultural production'!Q56*'Agricultural production'!AE56*0.2</f>
        <v>40910.925342010829</v>
      </c>
      <c r="K55" s="25">
        <f>+O55*'Agricultural production'!C56</f>
        <v>93101.930000000008</v>
      </c>
      <c r="M55" s="25">
        <f t="shared" si="2"/>
        <v>7156.5634499999996</v>
      </c>
      <c r="N55" s="25">
        <f>+'Gross receipts from VOC sales'!B57*0.2</f>
        <v>22457.4</v>
      </c>
      <c r="O55" s="25">
        <v>48.77</v>
      </c>
      <c r="P55" s="25"/>
      <c r="Q55" s="25">
        <f t="shared" si="3"/>
        <v>389023.74190443906</v>
      </c>
      <c r="R55" s="25">
        <f>+Q55/(Population!AN56*Population!X56)</f>
        <v>105.92395131195606</v>
      </c>
      <c r="S55" s="25"/>
      <c r="T55" s="78">
        <v>164.5187</v>
      </c>
      <c r="U55" s="76">
        <v>87</v>
      </c>
      <c r="V55" s="25">
        <f t="shared" si="4"/>
        <v>80230.675532173729</v>
      </c>
      <c r="W55" s="25">
        <f>+('Livestock in possession'!I58-'Livestock in possession'!I53)/5</f>
        <v>2725.8756921736408</v>
      </c>
      <c r="X55" s="25">
        <f>+('Livestock in possession'!J58-'Livestock in possession'!J53)/5</f>
        <v>12907.892603370885</v>
      </c>
      <c r="Y55" s="25">
        <f>+('Livestock in possession'!B58-'Livestock in possession'!B53)*'Livestock in possession'!F55/5</f>
        <v>684.07745310837549</v>
      </c>
      <c r="Z55" s="25">
        <f>+('Agricultural production'!H59-'Agricultural production'!H54+'Agricultural production'!J59-'Agricultural production'!J54+'Agricultural production'!L59-'Agricultural production'!L54)*'Agricultural production'!W56*2*'Agricultural production'!AE56/5</f>
        <v>-681.98400000000004</v>
      </c>
      <c r="AA55" s="25">
        <f>+('Agricultural production'!B59-'Agricultural production'!B54)/5</f>
        <v>174600</v>
      </c>
      <c r="AB55" s="25">
        <v>50106.148611089397</v>
      </c>
      <c r="AC55" s="25">
        <f>+W55*'Agricultural production'!Z54*300*1.5+46*'Agricultural production'!Z54*resteconomy!X55+resteconomy!Y55*100</f>
        <v>259875.56574054368</v>
      </c>
      <c r="AD55" s="25">
        <f t="shared" si="6"/>
        <v>309.29973035163312</v>
      </c>
      <c r="AE55" s="25">
        <f>+(AD55)+'Agricultural production'!AJ56</f>
        <v>1673.4022340668803</v>
      </c>
    </row>
    <row r="56" spans="1:31" ht="15" x14ac:dyDescent="0.25">
      <c r="A56">
        <f t="shared" si="5"/>
        <v>1754</v>
      </c>
      <c r="B56" s="24">
        <f>+Population!AN57</f>
        <v>0.23375975927668791</v>
      </c>
      <c r="C56" s="25">
        <f>+Population!X57*Population!Z57*resteconomy!B56</f>
        <v>2665.6118807125845</v>
      </c>
      <c r="D56" s="25">
        <v>0</v>
      </c>
      <c r="E56" s="25">
        <f t="shared" si="0"/>
        <v>188618.14651277888</v>
      </c>
      <c r="F56" s="50">
        <v>44</v>
      </c>
      <c r="G56" s="25">
        <f t="shared" si="1"/>
        <v>58453.74922993916</v>
      </c>
      <c r="H56" s="25">
        <f>+('Livestock in possession'!R56+'Livestock in possession'!T56/2)*'Agricultural production'!Z57*0.1</f>
        <v>16745.524126761276</v>
      </c>
      <c r="I56" s="25">
        <f>+'Agricultural production'!Q57*'Agricultural production'!AE57*0.2</f>
        <v>41708.225103177887</v>
      </c>
      <c r="K56" s="25">
        <f>+O56*'Agricultural production'!C57</f>
        <v>111884.11875000001</v>
      </c>
      <c r="M56" s="25">
        <f t="shared" si="2"/>
        <v>6087.1918999999998</v>
      </c>
      <c r="N56" s="25">
        <f>+'Gross receipts from VOC sales'!B58*0.2</f>
        <v>12229.400000000001</v>
      </c>
      <c r="O56" s="25">
        <v>49.342500000000001</v>
      </c>
      <c r="P56" s="25"/>
      <c r="Q56" s="25">
        <f t="shared" si="3"/>
        <v>377272.60639271804</v>
      </c>
      <c r="R56" s="25">
        <f>+Q56/(Population!AN57*Population!X57)</f>
        <v>101.29790601243219</v>
      </c>
      <c r="S56" s="25"/>
      <c r="T56" s="78">
        <v>164.5187</v>
      </c>
      <c r="U56" s="76">
        <v>74</v>
      </c>
      <c r="V56" s="25">
        <f t="shared" si="4"/>
        <v>66000</v>
      </c>
      <c r="W56" s="25">
        <f>+('Livestock in possession'!I59-'Livestock in possession'!I54)/5</f>
        <v>2470.0800077942899</v>
      </c>
      <c r="X56" s="25">
        <f>+('Livestock in possession'!J59-'Livestock in possession'!J54)/5</f>
        <v>2583.6867947364108</v>
      </c>
      <c r="Y56" s="25">
        <f>+('Livestock in possession'!B59-'Livestock in possession'!B54)*'Livestock in possession'!F56/5</f>
        <v>466.61258532801713</v>
      </c>
      <c r="Z56" s="25">
        <f>+('Agricultural production'!H60-'Agricultural production'!H55+'Agricultural production'!J60-'Agricultural production'!J55+'Agricultural production'!L60-'Agricultural production'!L55)*'Agricultural production'!W57*2*'Agricultural production'!AE57/5</f>
        <v>-2684.9279999999999</v>
      </c>
      <c r="AA56" s="25">
        <f>+('Agricultural production'!B60-'Agricultural production'!B55)/5</f>
        <v>122300</v>
      </c>
      <c r="AB56" s="25">
        <v>34923.718682062216</v>
      </c>
      <c r="AC56" s="25">
        <f>+W56*'Agricultural production'!Z55*300*1.5+46*'Agricultural production'!Z55*resteconomy!X56+resteconomy!Y56*100</f>
        <v>176071.4578332419</v>
      </c>
      <c r="AD56" s="25">
        <f t="shared" si="6"/>
        <v>208.31024851530412</v>
      </c>
      <c r="AE56" s="25">
        <f>+(AD56)+'Agricultural production'!AJ57</f>
        <v>1442.1285905169229</v>
      </c>
    </row>
    <row r="57" spans="1:31" ht="15" x14ac:dyDescent="0.25">
      <c r="A57">
        <f t="shared" si="5"/>
        <v>1755</v>
      </c>
      <c r="B57" s="24">
        <f>+Population!AN58</f>
        <v>0.24154832934947393</v>
      </c>
      <c r="C57" s="25">
        <f>+Population!X58*Population!Z58*resteconomy!B57</f>
        <v>2644.5333920713497</v>
      </c>
      <c r="D57" s="25">
        <v>0</v>
      </c>
      <c r="E57" s="25">
        <f t="shared" si="0"/>
        <v>187648.53603528207</v>
      </c>
      <c r="F57" s="50">
        <v>44</v>
      </c>
      <c r="G57" s="25">
        <f t="shared" si="1"/>
        <v>57051.705234046181</v>
      </c>
      <c r="H57" s="25">
        <f>+('Livestock in possession'!R57+'Livestock in possession'!T57/2)*'Agricultural production'!Z58*0.1</f>
        <v>16474.075119090816</v>
      </c>
      <c r="I57" s="25">
        <f>+'Agricultural production'!Q58*'Agricultural production'!AE58*0.2</f>
        <v>40577.630114955362</v>
      </c>
      <c r="K57" s="25">
        <f>+O57*'Agricultural production'!C58</f>
        <v>161955.41456249999</v>
      </c>
      <c r="M57" s="25">
        <f t="shared" si="2"/>
        <v>21058.393599999999</v>
      </c>
      <c r="N57" s="25">
        <f>+'Gross receipts from VOC sales'!B59*0.2</f>
        <v>14451.400000000001</v>
      </c>
      <c r="O57" s="25">
        <v>48.767062499999994</v>
      </c>
      <c r="P57" s="25"/>
      <c r="Q57" s="25">
        <f t="shared" si="3"/>
        <v>442165.44943182828</v>
      </c>
      <c r="R57" s="25">
        <f>+Q57/(Population!AN58*Population!X58)</f>
        <v>117.52782990817239</v>
      </c>
      <c r="S57" s="25"/>
      <c r="T57" s="78">
        <v>164.5187</v>
      </c>
      <c r="U57" s="76">
        <v>256</v>
      </c>
      <c r="V57" s="25">
        <f t="shared" si="4"/>
        <v>65999.999999999985</v>
      </c>
      <c r="W57" s="25">
        <f>+('Livestock in possession'!I60-'Livestock in possession'!I55)/5</f>
        <v>828.69098718056625</v>
      </c>
      <c r="X57" s="25">
        <f>+('Livestock in possession'!J60-'Livestock in possession'!J55)/5</f>
        <v>-2059.0865442115232</v>
      </c>
      <c r="Y57" s="25">
        <f>+('Livestock in possession'!B60-'Livestock in possession'!B55)*'Livestock in possession'!F57/5</f>
        <v>357.85363015576979</v>
      </c>
      <c r="Z57" s="25">
        <f>+('Agricultural production'!H61-'Agricultural production'!H56+'Agricultural production'!J61-'Agricultural production'!J56+'Agricultural production'!L61-'Agricultural production'!L56)*'Agricultural production'!W58*2*'Agricultural production'!AE58/5</f>
        <v>1147.904</v>
      </c>
      <c r="AA57" s="25">
        <f>+('Agricultural production'!B61-'Agricultural production'!B56)/5</f>
        <v>104700</v>
      </c>
      <c r="AB57" s="25">
        <v>30511.52655477645</v>
      </c>
      <c r="AC57" s="25">
        <f>+W57*'Agricultural production'!Z56*300*1.5+46*'Agricultural production'!Z56*resteconomy!X57+resteconomy!Y57*100</f>
        <v>65045.301466173783</v>
      </c>
      <c r="AD57" s="25">
        <f t="shared" si="6"/>
        <v>96.704732020950217</v>
      </c>
      <c r="AE57" s="25">
        <f>+(AD57)+'Agricultural production'!AJ58</f>
        <v>1237.2243433866749</v>
      </c>
    </row>
    <row r="58" spans="1:31" ht="15" x14ac:dyDescent="0.25">
      <c r="A58">
        <f t="shared" si="5"/>
        <v>1756</v>
      </c>
      <c r="B58" s="24">
        <f>+Population!AN59</f>
        <v>0.24685534173103094</v>
      </c>
      <c r="C58" s="25">
        <f>+Population!X59*Population!Z59*resteconomy!B58</f>
        <v>2626.50441975683</v>
      </c>
      <c r="D58" s="25">
        <v>0</v>
      </c>
      <c r="E58" s="25">
        <f t="shared" si="0"/>
        <v>149319.20330881421</v>
      </c>
      <c r="F58" s="50">
        <v>19</v>
      </c>
      <c r="G58" s="25">
        <f t="shared" si="1"/>
        <v>53403.919578126573</v>
      </c>
      <c r="H58" s="25">
        <f>+('Livestock in possession'!R58+'Livestock in possession'!T58/2)*'Agricultural production'!Z59*0.1</f>
        <v>14967.041885739607</v>
      </c>
      <c r="I58" s="25">
        <f>+'Agricultural production'!Q59*'Agricultural production'!AE59*0.2</f>
        <v>38436.877692386966</v>
      </c>
      <c r="K58" s="25">
        <f>+O58*'Agricultural production'!C59</f>
        <v>201414.9375</v>
      </c>
      <c r="M58" s="25">
        <f t="shared" si="2"/>
        <v>8554.9724000000006</v>
      </c>
      <c r="N58" s="25">
        <f>+'Gross receipts from VOC sales'!B60*0.2</f>
        <v>9570.4</v>
      </c>
      <c r="O58" s="25">
        <v>48.768749999999997</v>
      </c>
      <c r="P58" s="25"/>
      <c r="Q58" s="25">
        <f t="shared" si="3"/>
        <v>422263.43278694083</v>
      </c>
      <c r="R58" s="25">
        <f>+Q58/(Population!AN59*Population!X59)</f>
        <v>116.68529849928254</v>
      </c>
      <c r="S58" s="25"/>
      <c r="T58" s="78">
        <v>164.5187</v>
      </c>
      <c r="U58" s="76">
        <v>104</v>
      </c>
      <c r="V58" s="25">
        <f t="shared" si="4"/>
        <v>28500.000000000015</v>
      </c>
      <c r="W58" s="25">
        <f>+('Livestock in possession'!I61-'Livestock in possession'!I56)/5</f>
        <v>472.11253249326256</v>
      </c>
      <c r="X58" s="25">
        <f>+('Livestock in possession'!J61-'Livestock in possession'!J56)/5</f>
        <v>2679.2977080256214</v>
      </c>
      <c r="Y58" s="25">
        <f>+('Livestock in possession'!B61-'Livestock in possession'!B56)*'Livestock in possession'!F58/5</f>
        <v>505.03424750832471</v>
      </c>
      <c r="Z58" s="25">
        <f>+('Agricultural production'!H62-'Agricultural production'!H57+'Agricultural production'!J62-'Agricultural production'!J57+'Agricultural production'!L62-'Agricultural production'!L57)*'Agricultural production'!W59*2*'Agricultural production'!AE59/5</f>
        <v>-2643.5839999999998</v>
      </c>
      <c r="AA58" s="25">
        <f>+('Agricultural production'!B62-'Agricultural production'!B57)/5</f>
        <v>94400</v>
      </c>
      <c r="AB58" s="25">
        <v>27163.41860399528</v>
      </c>
      <c r="AC58" s="25">
        <f>+W58*'Agricultural production'!Z57*300*1.5+46*'Agricultural production'!Z57*resteconomy!X58+resteconomy!Y58*100</f>
        <v>75620.853684062924</v>
      </c>
      <c r="AD58" s="25">
        <f t="shared" si="6"/>
        <v>100.1406882880582</v>
      </c>
      <c r="AE58" s="25">
        <f>+(AD58)+'Agricultural production'!AJ59</f>
        <v>1263.069893929232</v>
      </c>
    </row>
    <row r="59" spans="1:31" ht="15" x14ac:dyDescent="0.25">
      <c r="A59">
        <f t="shared" si="5"/>
        <v>1757</v>
      </c>
      <c r="B59" s="24">
        <f>+Population!AN60</f>
        <v>0.23146938983069118</v>
      </c>
      <c r="C59" s="25">
        <f>+Population!X60*Population!Z60*resteconomy!B59</f>
        <v>2527.5478500324466</v>
      </c>
      <c r="D59" s="25">
        <v>159.53522589351269</v>
      </c>
      <c r="E59" s="25">
        <f t="shared" si="0"/>
        <v>154720.72369084385</v>
      </c>
      <c r="F59" s="50">
        <v>15</v>
      </c>
      <c r="G59" s="25">
        <f t="shared" si="1"/>
        <v>54934.697316492609</v>
      </c>
      <c r="H59" s="25">
        <f>+('Livestock in possession'!R59+'Livestock in possession'!T59/2)*'Agricultural production'!Z60*0.1</f>
        <v>15289.827789149822</v>
      </c>
      <c r="I59" s="25">
        <f>+'Agricultural production'!Q60*'Agricultural production'!AE60*0.2</f>
        <v>39644.869527342787</v>
      </c>
      <c r="K59" s="25">
        <f>+O59*'Agricultural production'!C60</f>
        <v>108338.60593220341</v>
      </c>
      <c r="M59" s="25">
        <f t="shared" si="2"/>
        <v>4030.7081499999999</v>
      </c>
      <c r="N59" s="25">
        <f>+'Gross receipts from VOC sales'!B61*0.2</f>
        <v>13387</v>
      </c>
      <c r="O59" s="25">
        <v>35.88559322033899</v>
      </c>
      <c r="P59" s="25"/>
      <c r="Q59" s="25">
        <f t="shared" si="3"/>
        <v>335411.7350895399</v>
      </c>
      <c r="R59" s="25">
        <f>+Q59/(Population!AN60*Population!X60)</f>
        <v>95.696000168916726</v>
      </c>
      <c r="S59" s="25"/>
      <c r="T59" s="78">
        <v>164.5187</v>
      </c>
      <c r="U59" s="76">
        <v>49</v>
      </c>
      <c r="V59" s="25">
        <f t="shared" si="4"/>
        <v>38453.522589351283</v>
      </c>
      <c r="W59" s="25">
        <f>+('Livestock in possession'!I62-'Livestock in possession'!I57)/5</f>
        <v>-588.22057250147043</v>
      </c>
      <c r="X59" s="25">
        <f>+('Livestock in possession'!J62-'Livestock in possession'!J57)/5</f>
        <v>2877.0975286561179</v>
      </c>
      <c r="Y59" s="25">
        <f>+('Livestock in possession'!B62-'Livestock in possession'!B57)*'Livestock in possession'!F59/5</f>
        <v>385.86400000000003</v>
      </c>
      <c r="Z59" s="25">
        <f>+('Agricultural production'!H63-'Agricultural production'!H58+'Agricultural production'!J63-'Agricultural production'!J58+'Agricultural production'!L63-'Agricultural production'!L58)*'Agricultural production'!W60*2*'Agricultural production'!AE60/5</f>
        <v>-1945.6</v>
      </c>
      <c r="AA59" s="25">
        <f>+('Agricultural production'!B63-'Agricultural production'!B58)/5</f>
        <v>25300</v>
      </c>
      <c r="AB59" s="25">
        <v>7245.7809154591378</v>
      </c>
      <c r="AC59" s="25">
        <f>+W59*'Agricultural production'!Z58*300*1.5+46*'Agricultural production'!Z58*resteconomy!X59+resteconomy!Y59*100</f>
        <v>28683.576575386745</v>
      </c>
      <c r="AD59" s="25">
        <f t="shared" si="6"/>
        <v>33.983757490845882</v>
      </c>
      <c r="AE59" s="25">
        <f>+(AD59)+'Agricultural production'!AJ60</f>
        <v>1019.3207629036403</v>
      </c>
    </row>
    <row r="60" spans="1:31" ht="15" x14ac:dyDescent="0.25">
      <c r="A60">
        <f t="shared" si="5"/>
        <v>1758</v>
      </c>
      <c r="B60" s="24">
        <f>+Population!AN61</f>
        <v>0.23983702350059202</v>
      </c>
      <c r="C60" s="25">
        <f>+Population!X61*Population!Z61*resteconomy!B60</f>
        <v>2709.7550777486945</v>
      </c>
      <c r="D60" s="25">
        <v>172.44341143169186</v>
      </c>
      <c r="E60" s="25">
        <f t="shared" si="0"/>
        <v>195893.07471960914</v>
      </c>
      <c r="F60" s="50">
        <v>36</v>
      </c>
      <c r="G60" s="25">
        <f t="shared" si="1"/>
        <v>57521.282454860135</v>
      </c>
      <c r="H60" s="25">
        <f>+('Livestock in possession'!R60+'Livestock in possession'!T60/2)*'Agricultural production'!Z61*0.1</f>
        <v>16536.564127159112</v>
      </c>
      <c r="I60" s="25">
        <f>+'Agricultural production'!Q61*'Agricultural production'!AE61*0.2</f>
        <v>40984.718327701026</v>
      </c>
      <c r="K60" s="25">
        <f>+O60*'Agricultural production'!C61</f>
        <v>110687.82029950083</v>
      </c>
      <c r="M60" s="25">
        <f t="shared" si="2"/>
        <v>1891.96505</v>
      </c>
      <c r="N60" s="25">
        <f>+'Gross receipts from VOC sales'!B62*0.2</f>
        <v>11296.2</v>
      </c>
      <c r="O60" s="25">
        <v>33.823627287853576</v>
      </c>
      <c r="P60" s="25"/>
      <c r="Q60" s="25">
        <f t="shared" si="3"/>
        <v>377290.34252397006</v>
      </c>
      <c r="R60" s="25">
        <f>+Q60/(Population!AN61*Population!X61)</f>
        <v>100.42134064973264</v>
      </c>
      <c r="S60" s="25"/>
      <c r="T60" s="78">
        <v>164.5187</v>
      </c>
      <c r="U60" s="76">
        <v>23</v>
      </c>
      <c r="V60" s="25">
        <f t="shared" si="4"/>
        <v>71244.341143169193</v>
      </c>
      <c r="W60" s="25">
        <f>+('Livestock in possession'!I63-'Livestock in possession'!I58)/5</f>
        <v>-872.44645524810767</v>
      </c>
      <c r="X60" s="25">
        <f>+('Livestock in possession'!J63-'Livestock in possession'!J58)/5</f>
        <v>6688.6595886353753</v>
      </c>
      <c r="Y60" s="25">
        <f>+('Livestock in possession'!B63-'Livestock in possession'!B58)*'Livestock in possession'!F60/5</f>
        <v>69.621401335851317</v>
      </c>
      <c r="Z60" s="25">
        <f>+('Agricultural production'!H64-'Agricultural production'!H59+'Agricultural production'!J64-'Agricultural production'!J59+'Agricultural production'!L64-'Agricultural production'!L59)*'Agricultural production'!W61*2*'Agricultural production'!AE61/5</f>
        <v>-515.58400000000006</v>
      </c>
      <c r="AA60" s="25">
        <f>+('Agricultural production'!B64-'Agricultural production'!B59)/5</f>
        <v>-28480</v>
      </c>
      <c r="AB60" s="25">
        <v>-8331.2288538677658</v>
      </c>
      <c r="AC60" s="25">
        <f>+W60*'Agricultural production'!Z59*300*1.5+46*'Agricultural production'!Z59*resteconomy!X60+resteconomy!Y60*100</f>
        <v>608.11259328647247</v>
      </c>
      <c r="AD60" s="25">
        <f t="shared" si="6"/>
        <v>-8.2387002605812949</v>
      </c>
      <c r="AE60" s="25">
        <f>+(AD60)+'Agricultural production'!AJ61</f>
        <v>1037.549823614406</v>
      </c>
    </row>
    <row r="61" spans="1:31" ht="15" x14ac:dyDescent="0.25">
      <c r="A61">
        <f t="shared" si="5"/>
        <v>1759</v>
      </c>
      <c r="B61" s="24">
        <f>+Population!AN62</f>
        <v>0.2483517574400794</v>
      </c>
      <c r="C61" s="25">
        <f>+Population!X62*Population!Z62*resteconomy!B61</f>
        <v>2880.2209391193555</v>
      </c>
      <c r="D61" s="25">
        <v>199.23676722535674</v>
      </c>
      <c r="E61" s="25">
        <f t="shared" si="0"/>
        <v>264913.83992202603</v>
      </c>
      <c r="F61" s="50">
        <v>75</v>
      </c>
      <c r="G61" s="25">
        <f t="shared" si="1"/>
        <v>59518.602451339131</v>
      </c>
      <c r="H61" s="25">
        <f>+('Livestock in possession'!R61+'Livestock in possession'!T61/2)*'Agricultural production'!Z62*0.1</f>
        <v>17557.547502466794</v>
      </c>
      <c r="I61" s="25">
        <f>+'Agricultural production'!Q62*'Agricultural production'!AE62*0.2</f>
        <v>41961.054948872334</v>
      </c>
      <c r="K61" s="25">
        <f>+O61*'Agricultural production'!C62</f>
        <v>59673.33368400918</v>
      </c>
      <c r="M61" s="25">
        <f t="shared" si="2"/>
        <v>3537.1520499999997</v>
      </c>
      <c r="N61" s="25">
        <f>+'Gross receipts from VOC sales'!B63*0.2</f>
        <v>22182.400000000001</v>
      </c>
      <c r="O61" s="25">
        <v>32.59057000765111</v>
      </c>
      <c r="P61" s="25"/>
      <c r="Q61" s="25">
        <f t="shared" si="3"/>
        <v>409825.32810737431</v>
      </c>
      <c r="R61" s="25">
        <f>+Q61/(Population!AN62*Population!X62)</f>
        <v>102.85636869244135</v>
      </c>
      <c r="S61" s="25"/>
      <c r="T61" s="78">
        <v>164.5187</v>
      </c>
      <c r="U61" s="76">
        <v>43</v>
      </c>
      <c r="V61" s="25">
        <f t="shared" si="4"/>
        <v>132423.67672253566</v>
      </c>
      <c r="W61" s="25">
        <f>+('Livestock in possession'!I64-'Livestock in possession'!I59)/5</f>
        <v>-898.24333038234613</v>
      </c>
      <c r="X61" s="25">
        <f>+('Livestock in possession'!J64-'Livestock in possession'!J59)/5</f>
        <v>11504.913233852072</v>
      </c>
      <c r="Y61" s="25">
        <f>+('Livestock in possession'!B64-'Livestock in possession'!B59)*'Livestock in possession'!F61/5</f>
        <v>374.05423126882107</v>
      </c>
      <c r="Z61" s="25">
        <f>+('Agricultural production'!H65-'Agricultural production'!H60+'Agricultural production'!J65-'Agricultural production'!J60+'Agricultural production'!L65-'Agricultural production'!L60)*'Agricultural production'!W62*2*'Agricultural production'!AE62/5</f>
        <v>24.192000000000004</v>
      </c>
      <c r="AA61" s="25">
        <f>+('Agricultural production'!B65-'Agricultural production'!B60)/5</f>
        <v>-37400</v>
      </c>
      <c r="AB61" s="25">
        <v>-10574.795800400712</v>
      </c>
      <c r="AC61" s="25">
        <f>+W61*'Agricultural production'!Z60*300*1.5+46*'Agricultural production'!Z60*resteconomy!X61+resteconomy!Y61*100</f>
        <v>46759.337006466667</v>
      </c>
      <c r="AD61" s="25">
        <f t="shared" si="6"/>
        <v>36.208733206065958</v>
      </c>
      <c r="AE61" s="25">
        <f>+(AD61)+'Agricultural production'!AJ62</f>
        <v>1009.4762798203087</v>
      </c>
    </row>
    <row r="62" spans="1:31" ht="15" x14ac:dyDescent="0.25">
      <c r="A62">
        <f t="shared" si="5"/>
        <v>1760</v>
      </c>
      <c r="B62" s="24">
        <f>+Population!AN63</f>
        <v>0.25770930608652171</v>
      </c>
      <c r="C62" s="25">
        <f>+Population!X63*Population!Z63*resteconomy!B62</f>
        <v>3085.394123516086</v>
      </c>
      <c r="D62" s="25">
        <v>178.08142974952125</v>
      </c>
      <c r="E62" s="25">
        <f t="shared" si="0"/>
        <v>243736.27265669208</v>
      </c>
      <c r="F62" s="50">
        <v>56</v>
      </c>
      <c r="G62" s="25">
        <f t="shared" si="1"/>
        <v>61587.613620618453</v>
      </c>
      <c r="H62" s="25">
        <f>+('Livestock in possession'!R62+'Livestock in possession'!T62/2)*'Agricultural production'!Z63*0.1</f>
        <v>18040.516836398638</v>
      </c>
      <c r="I62" s="25">
        <f>+'Agricultural production'!Q63*'Agricultural production'!AE63*0.2</f>
        <v>43547.096784219815</v>
      </c>
      <c r="K62" s="25">
        <f>+O62*'Agricultural production'!C63</f>
        <v>90358.032715691952</v>
      </c>
      <c r="M62" s="25">
        <f t="shared" si="2"/>
        <v>3290.3739999999998</v>
      </c>
      <c r="N62" s="25">
        <f>+'Gross receipts from VOC sales'!B64*0.2</f>
        <v>26541.600000000002</v>
      </c>
      <c r="O62" s="25">
        <v>31.928633468442385</v>
      </c>
      <c r="P62" s="25"/>
      <c r="Q62" s="25">
        <f t="shared" si="3"/>
        <v>425513.89299300249</v>
      </c>
      <c r="R62" s="25">
        <f>+Q62/(Population!AN63*Population!X63)</f>
        <v>98.751117719513871</v>
      </c>
      <c r="S62" s="25"/>
      <c r="T62" s="78">
        <v>164.5187</v>
      </c>
      <c r="U62" s="76">
        <v>40</v>
      </c>
      <c r="V62" s="25">
        <f t="shared" si="4"/>
        <v>101808.14297495212</v>
      </c>
      <c r="W62" s="25">
        <f>+('Livestock in possession'!I65-'Livestock in possession'!I60)/5</f>
        <v>100.7058126415388</v>
      </c>
      <c r="X62" s="25">
        <f>+('Livestock in possession'!J65-'Livestock in possession'!J60)/5</f>
        <v>12127.778152169194</v>
      </c>
      <c r="Y62" s="25">
        <f>+('Livestock in possession'!B65-'Livestock in possession'!B60)*'Livestock in possession'!F62/5</f>
        <v>-519.57139573253005</v>
      </c>
      <c r="Z62" s="25">
        <f>+('Agricultural production'!H66-'Agricultural production'!H61+'Agricultural production'!J66-'Agricultural production'!J61+'Agricultural production'!L66-'Agricultural production'!L61)*'Agricultural production'!W63*2*'Agricultural production'!AE63/5</f>
        <v>-3462.1440000000002</v>
      </c>
      <c r="AA62" s="25">
        <f>+('Agricultural production'!B66-'Agricultural production'!B61)/5</f>
        <v>4600</v>
      </c>
      <c r="AB62" s="25">
        <v>1312.9547006095981</v>
      </c>
      <c r="AC62" s="25">
        <f>+W62*'Agricultural production'!Z61*300*1.5+46*'Agricultural production'!Z61*resteconomy!X62+resteconomy!Y62*100</f>
        <v>-6825.1972378117134</v>
      </c>
      <c r="AD62" s="25">
        <f t="shared" si="6"/>
        <v>-8.9743865372021148</v>
      </c>
      <c r="AE62" s="25">
        <f>+(AD62)+'Agricultural production'!AJ63</f>
        <v>996.49626966394999</v>
      </c>
    </row>
    <row r="63" spans="1:31" ht="15" x14ac:dyDescent="0.25">
      <c r="A63">
        <f t="shared" si="5"/>
        <v>1761</v>
      </c>
      <c r="B63" s="24">
        <f>+Population!AN64</f>
        <v>0.2567231147063363</v>
      </c>
      <c r="C63" s="25">
        <f>+Population!X64*Population!Z64*resteconomy!B63</f>
        <v>3163.4433335330928</v>
      </c>
      <c r="D63" s="25">
        <v>134.38242191812105</v>
      </c>
      <c r="E63" s="25">
        <f t="shared" si="0"/>
        <v>317956.63553433435</v>
      </c>
      <c r="F63" s="50">
        <v>106</v>
      </c>
      <c r="G63" s="25">
        <f t="shared" si="1"/>
        <v>62864.319608288533</v>
      </c>
      <c r="H63" s="25">
        <f>+('Livestock in possession'!R63+'Livestock in possession'!T63/2)*'Agricultural production'!Z64*0.1</f>
        <v>18122.771424318642</v>
      </c>
      <c r="I63" s="25">
        <f>+'Agricultural production'!Q64*'Agricultural production'!AE64*0.2</f>
        <v>44741.548183969891</v>
      </c>
      <c r="K63" s="25">
        <f>+O63*'Agricultural production'!C64</f>
        <v>104227.71525991918</v>
      </c>
      <c r="M63" s="25">
        <f t="shared" si="2"/>
        <v>6580.7479999999996</v>
      </c>
      <c r="N63" s="25">
        <f>+'Gross receipts from VOC sales'!B65*0.2</f>
        <v>24274.600000000002</v>
      </c>
      <c r="O63" s="25">
        <v>37.661324393828068</v>
      </c>
      <c r="P63" s="25"/>
      <c r="Q63" s="25">
        <f t="shared" si="3"/>
        <v>515904.0184025421</v>
      </c>
      <c r="R63" s="25">
        <f>+Q63/(Population!AN64*Population!X64)</f>
        <v>117.02098227131346</v>
      </c>
      <c r="S63" s="25"/>
      <c r="T63" s="78">
        <v>164.5187</v>
      </c>
      <c r="U63" s="76">
        <v>80</v>
      </c>
      <c r="V63" s="25">
        <f t="shared" si="4"/>
        <v>172438.24219181208</v>
      </c>
      <c r="W63" s="25">
        <f>+('Livestock in possession'!I66-'Livestock in possession'!I61)/5</f>
        <v>588.86056977675184</v>
      </c>
      <c r="X63" s="25">
        <f>+('Livestock in possession'!J66-'Livestock in possession'!J61)/5</f>
        <v>9168.5435371307649</v>
      </c>
      <c r="Y63" s="25">
        <f>+('Livestock in possession'!B66-'Livestock in possession'!B61)*'Livestock in possession'!F63/5</f>
        <v>-454.66843345049881</v>
      </c>
      <c r="Z63" s="25">
        <f>+('Agricultural production'!H67-'Agricultural production'!H62+'Agricultural production'!J67-'Agricultural production'!J62+'Agricultural production'!L67-'Agricultural production'!L62)*'Agricultural production'!W64*2*'Agricultural production'!AE64/5</f>
        <v>-1583.232</v>
      </c>
      <c r="AA63" s="25">
        <f>+('Agricultural production'!B67-'Agricultural production'!B62)/5</f>
        <v>96600</v>
      </c>
      <c r="AB63" s="25">
        <v>27858.328293242626</v>
      </c>
      <c r="AC63" s="25">
        <f>+W63*'Agricultural production'!Z62*300*1.5+46*'Agricultural production'!Z62*resteconomy!X63+resteconomy!Y63*100</f>
        <v>6774.4692227747364</v>
      </c>
      <c r="AD63" s="25">
        <f t="shared" si="6"/>
        <v>33.04956551601736</v>
      </c>
      <c r="AE63" s="25">
        <f>+(AD63)+'Agricultural production'!AJ64</f>
        <v>1182.8656052755368</v>
      </c>
    </row>
    <row r="64" spans="1:31" ht="15" x14ac:dyDescent="0.25">
      <c r="A64">
        <f t="shared" si="5"/>
        <v>1762</v>
      </c>
      <c r="B64" s="24">
        <f>+Population!AN65</f>
        <v>0.2682791057115449</v>
      </c>
      <c r="C64" s="25">
        <f>+Population!X65*Population!Z65*resteconomy!B64</f>
        <v>3368.7826189894381</v>
      </c>
      <c r="D64" s="25">
        <v>200.59675301747984</v>
      </c>
      <c r="E64" s="25">
        <f t="shared" si="0"/>
        <v>271023.67577526218</v>
      </c>
      <c r="F64" s="50">
        <v>64</v>
      </c>
      <c r="G64" s="25">
        <f t="shared" si="1"/>
        <v>63333.691338195858</v>
      </c>
      <c r="H64" s="25">
        <f>+('Livestock in possession'!R64+'Livestock in possession'!T64/2)*'Agricultural production'!Z65*0.1</f>
        <v>17663.303640235677</v>
      </c>
      <c r="I64" s="25">
        <f>+'Agricultural production'!Q65*'Agricultural production'!AE65*0.2</f>
        <v>45670.387697960177</v>
      </c>
      <c r="K64" s="25">
        <f>+O64*'Agricultural production'!C65</f>
        <v>63278.251958955225</v>
      </c>
      <c r="M64" s="25">
        <f t="shared" si="2"/>
        <v>14230.867549999999</v>
      </c>
      <c r="N64" s="25">
        <f>+'Gross receipts from VOC sales'!B66*0.2</f>
        <v>23600</v>
      </c>
      <c r="O64" s="25">
        <v>31.662873134328358</v>
      </c>
      <c r="P64" s="25"/>
      <c r="Q64" s="25">
        <f t="shared" si="3"/>
        <v>435466.48662241327</v>
      </c>
      <c r="R64" s="25">
        <f>+Q64/(Population!AN65*Population!X65)</f>
        <v>92.217039811298946</v>
      </c>
      <c r="S64" s="25"/>
      <c r="T64" s="78">
        <v>164.5187</v>
      </c>
      <c r="U64" s="76">
        <v>173</v>
      </c>
      <c r="V64" s="25">
        <f t="shared" si="4"/>
        <v>116059.67530174801</v>
      </c>
      <c r="W64" s="25">
        <f>+('Livestock in possession'!I67-'Livestock in possession'!I62)/5</f>
        <v>1526.3916387170757</v>
      </c>
      <c r="X64" s="25">
        <f>+('Livestock in possession'!J67-'Livestock in possession'!J62)/5</f>
        <v>8983.1682558086941</v>
      </c>
      <c r="Y64" s="25">
        <f>+('Livestock in possession'!B67-'Livestock in possession'!B62)*'Livestock in possession'!F64/5</f>
        <v>-516.38199999999983</v>
      </c>
      <c r="Z64" s="25">
        <f>+('Agricultural production'!H68-'Agricultural production'!H63+'Agricultural production'!J68-'Agricultural production'!J63+'Agricultural production'!L68-'Agricultural production'!L63)*'Agricultural production'!W65*2*'Agricultural production'!AE65/5</f>
        <v>-580.60799999999995</v>
      </c>
      <c r="AA64" s="25">
        <f>+('Agricultural production'!B68-'Agricultural production'!B63)/5</f>
        <v>67400</v>
      </c>
      <c r="AB64" s="25">
        <v>20114.397451240053</v>
      </c>
      <c r="AC64" s="25">
        <f>+W64*'Agricultural production'!Z63*300*1.5+46*'Agricultural production'!Z63*resteconomy!X64+resteconomy!Y64*100</f>
        <v>32048.128979087633</v>
      </c>
      <c r="AD64" s="25">
        <f t="shared" si="6"/>
        <v>51.581918430327683</v>
      </c>
      <c r="AE64" s="25">
        <f>+(AD64)+'Agricultural production'!AJ65</f>
        <v>1106.5989520358746</v>
      </c>
    </row>
    <row r="65" spans="1:31" ht="15" x14ac:dyDescent="0.25">
      <c r="A65">
        <f t="shared" si="5"/>
        <v>1763</v>
      </c>
      <c r="B65" s="24">
        <f>+Population!AN66</f>
        <v>0.26820590515474085</v>
      </c>
      <c r="C65" s="25">
        <f>+Population!X66*Population!Z66*resteconomy!B65</f>
        <v>3534.7271794992521</v>
      </c>
      <c r="D65" s="25">
        <v>254.47466582749303</v>
      </c>
      <c r="E65" s="25">
        <f t="shared" si="0"/>
        <v>294544.91683971486</v>
      </c>
      <c r="F65" s="50">
        <v>71</v>
      </c>
      <c r="G65" s="25">
        <f t="shared" si="1"/>
        <v>67087.172196581116</v>
      </c>
      <c r="H65" s="25">
        <f>+('Livestock in possession'!R65+'Livestock in possession'!T65/2)*'Agricultural production'!Z66*0.1</f>
        <v>19196.628108350578</v>
      </c>
      <c r="I65" s="25">
        <f>+'Agricultural production'!Q66*'Agricultural production'!AE66*0.2</f>
        <v>47890.544088230541</v>
      </c>
      <c r="K65" s="25">
        <f>+O65*'Agricultural production'!C66</f>
        <v>102363.59500708216</v>
      </c>
      <c r="M65" s="25">
        <f t="shared" si="2"/>
        <v>6745.2667000000001</v>
      </c>
      <c r="N65" s="25">
        <f>+'Gross receipts from VOC sales'!B67*0.2</f>
        <v>23007.600000000002</v>
      </c>
      <c r="O65" s="25">
        <v>36.486756373937681</v>
      </c>
      <c r="P65" s="25"/>
      <c r="Q65" s="25">
        <f t="shared" si="3"/>
        <v>493748.55074337817</v>
      </c>
      <c r="R65" s="25">
        <f>+Q65/(Population!AN66*Population!X66)</f>
        <v>99.588217367226079</v>
      </c>
      <c r="S65" s="25"/>
      <c r="T65" s="78">
        <v>164.5187</v>
      </c>
      <c r="U65" s="76">
        <v>82</v>
      </c>
      <c r="V65" s="25">
        <f t="shared" si="4"/>
        <v>131947.46658274924</v>
      </c>
      <c r="W65" s="25">
        <f>+('Livestock in possession'!I68-'Livestock in possession'!I63)/5</f>
        <v>2922.8287227212072</v>
      </c>
      <c r="X65" s="25">
        <f>+('Livestock in possession'!J68-'Livestock in possession'!J63)/5</f>
        <v>16904.063219658226</v>
      </c>
      <c r="Y65" s="25">
        <f>+('Livestock in possession'!B68-'Livestock in possession'!B63)*'Livestock in possession'!F65/5</f>
        <v>-481.30422369838107</v>
      </c>
      <c r="Z65" s="25">
        <f>+('Agricultural production'!H69-'Agricultural production'!H64+'Agricultural production'!J69-'Agricultural production'!J64+'Agricultural production'!L69-'Agricultural production'!L64)*'Agricultural production'!W66*2*'Agricultural production'!AE66/5</f>
        <v>4080.3839999999996</v>
      </c>
      <c r="AA65" s="25">
        <f>+('Agricultural production'!B69-'Agricultural production'!B64)/5</f>
        <v>115660</v>
      </c>
      <c r="AB65" s="25">
        <v>35445.640129543412</v>
      </c>
      <c r="AC65" s="25">
        <f>+W65*'Agricultural production'!Z64*300*1.5+46*'Agricultural production'!Z64*resteconomy!X65+resteconomy!Y65*100</f>
        <v>111076.41495124728</v>
      </c>
      <c r="AD65" s="25">
        <f t="shared" si="6"/>
        <v>150.60243908079067</v>
      </c>
      <c r="AE65" s="25">
        <f>+(AD65)+'Agricultural production'!AJ66</f>
        <v>1483.354764971541</v>
      </c>
    </row>
    <row r="66" spans="1:31" ht="15" x14ac:dyDescent="0.25">
      <c r="A66">
        <f t="shared" si="5"/>
        <v>1764</v>
      </c>
      <c r="B66" s="24">
        <f>+Population!AN67</f>
        <v>0.25857008395733155</v>
      </c>
      <c r="C66" s="25">
        <f>+Population!X67*Population!Z67*resteconomy!B66</f>
        <v>3584.0464056206642</v>
      </c>
      <c r="D66" s="25">
        <v>143.98788443812145</v>
      </c>
      <c r="E66" s="25">
        <f t="shared" si="0"/>
        <v>299264.92310236278</v>
      </c>
      <c r="F66" s="50">
        <v>80</v>
      </c>
      <c r="G66" s="25">
        <f t="shared" si="1"/>
        <v>68423.242272088057</v>
      </c>
      <c r="H66" s="25">
        <f>+('Livestock in possession'!R66+'Livestock in possession'!T66/2)*'Agricultural production'!Z67*0.1</f>
        <v>18077.174048140154</v>
      </c>
      <c r="I66" s="25">
        <f>+'Agricultural production'!Q67*'Agricultural production'!AE67*0.2</f>
        <v>50346.068223947907</v>
      </c>
      <c r="K66" s="25">
        <f>+O66*'Agricultural production'!C67</f>
        <v>122812.1026490066</v>
      </c>
      <c r="M66" s="25">
        <f t="shared" si="2"/>
        <v>13655.052099999999</v>
      </c>
      <c r="N66" s="25">
        <f>+'Gross receipts from VOC sales'!B68*0.2</f>
        <v>22134.800000000003</v>
      </c>
      <c r="O66" s="25">
        <v>32.925496688741717</v>
      </c>
      <c r="P66" s="25"/>
      <c r="Q66" s="25">
        <f t="shared" si="3"/>
        <v>526290.1201234574</v>
      </c>
      <c r="R66" s="25">
        <f>+Q66/(Population!AN67*Population!X67)</f>
        <v>104.85741222003894</v>
      </c>
      <c r="S66" s="25"/>
      <c r="T66" s="78">
        <v>164.5187</v>
      </c>
      <c r="U66" s="76">
        <v>166</v>
      </c>
      <c r="V66" s="25">
        <f t="shared" si="4"/>
        <v>134398.7884438122</v>
      </c>
      <c r="W66" s="25">
        <f>+('Livestock in possession'!I69-'Livestock in possession'!I64)/5</f>
        <v>4115.3600334166285</v>
      </c>
      <c r="X66" s="25">
        <f>+('Livestock in possession'!J69-'Livestock in possession'!J64)/5</f>
        <v>27406.184138771205</v>
      </c>
      <c r="Y66" s="25">
        <f>+('Livestock in possession'!B69-'Livestock in possession'!B64)*'Livestock in possession'!F66/5</f>
        <v>-403.49312648478997</v>
      </c>
      <c r="Z66" s="25">
        <f>+('Agricultural production'!H70-'Agricultural production'!H65+'Agricultural production'!J70-'Agricultural production'!J65+'Agricultural production'!L70-'Agricultural production'!L65)*'Agricultural production'!W67*2*'Agricultural production'!AE67/5</f>
        <v>1637.3759999999997</v>
      </c>
      <c r="AA66" s="25">
        <f>+('Agricultural production'!B70-'Agricultural production'!B65)/5</f>
        <v>173800</v>
      </c>
      <c r="AB66" s="25">
        <v>52791.557907807684</v>
      </c>
      <c r="AC66" s="25">
        <f>+W66*'Agricultural production'!Z65*300*1.5+46*'Agricultural production'!Z65*resteconomy!X66+resteconomy!Y66*100</f>
        <v>196430.34856390103</v>
      </c>
      <c r="AD66" s="25">
        <f t="shared" si="6"/>
        <v>250.85928247170872</v>
      </c>
      <c r="AE66" s="25">
        <f>+(AD66)+'Agricultural production'!AJ67</f>
        <v>1591.9090083602068</v>
      </c>
    </row>
    <row r="67" spans="1:31" ht="15" x14ac:dyDescent="0.25">
      <c r="A67">
        <f t="shared" si="5"/>
        <v>1765</v>
      </c>
      <c r="B67" s="24">
        <f>+Population!AN68</f>
        <v>0.26606552749908891</v>
      </c>
      <c r="C67" s="25">
        <f>+Population!X68*Population!Z68*resteconomy!B67</f>
        <v>3725.1755123959119</v>
      </c>
      <c r="D67" s="25">
        <v>315.3813227676219</v>
      </c>
      <c r="E67" s="25">
        <f t="shared" si="0"/>
        <v>261396.20584697413</v>
      </c>
      <c r="F67" s="50">
        <v>39</v>
      </c>
      <c r="G67" s="25">
        <f t="shared" si="1"/>
        <v>67840.571574354224</v>
      </c>
      <c r="H67" s="25">
        <f>+('Livestock in possession'!R67+'Livestock in possession'!T67/2)*'Agricultural production'!Z68*0.1</f>
        <v>17055.988803607423</v>
      </c>
      <c r="I67" s="25">
        <f>+'Agricultural production'!Q68*'Agricultural production'!AE68*0.2</f>
        <v>50784.582770746805</v>
      </c>
      <c r="K67" s="25">
        <f>+O67*'Agricultural production'!C68</f>
        <v>94258.809963099629</v>
      </c>
      <c r="M67" s="25">
        <f t="shared" si="2"/>
        <v>6827.5260499999995</v>
      </c>
      <c r="N67" s="25">
        <f>+'Gross receipts from VOC sales'!B69*0.2</f>
        <v>28986.800000000003</v>
      </c>
      <c r="O67" s="25">
        <v>33.8330258302583</v>
      </c>
      <c r="P67" s="25"/>
      <c r="Q67" s="25">
        <f t="shared" si="3"/>
        <v>459309.91343442793</v>
      </c>
      <c r="R67" s="25">
        <f>+Q67/(Population!AN68*Population!X68)</f>
        <v>88.055051337173921</v>
      </c>
      <c r="S67" s="25"/>
      <c r="T67" s="78">
        <v>164.5187</v>
      </c>
      <c r="U67" s="76">
        <v>83</v>
      </c>
      <c r="V67" s="25">
        <f t="shared" si="4"/>
        <v>90038.13227676219</v>
      </c>
      <c r="W67" s="25">
        <f>+('Livestock in possession'!I70-'Livestock in possession'!I65)/5</f>
        <v>4619.1617522520974</v>
      </c>
      <c r="X67" s="25">
        <f>+('Livestock in possession'!J70-'Livestock in possession'!J65)/5</f>
        <v>33418.10781867808</v>
      </c>
      <c r="Y67" s="25">
        <f>+('Livestock in possession'!B70-'Livestock in possession'!B65)*'Livestock in possession'!F67/5</f>
        <v>487.36130634786196</v>
      </c>
      <c r="Z67" s="25">
        <f>+('Agricultural production'!H71-'Agricultural production'!H66+'Agricultural production'!J71-'Agricultural production'!J66+'Agricultural production'!L71-'Agricultural production'!L66)*'Agricultural production'!W68*2*'Agricultural production'!AE68/5</f>
        <v>586.75199999999995</v>
      </c>
      <c r="AA67" s="25">
        <f>+('Agricultural production'!B71-'Agricultural production'!B66)/5</f>
        <v>220200</v>
      </c>
      <c r="AB67" s="25">
        <v>68492.052157139551</v>
      </c>
      <c r="AC67" s="25">
        <f>+W67*'Agricultural production'!Z66*300*1.5+46*'Agricultural production'!Z66*resteconomy!X67+resteconomy!Y67*100</f>
        <v>323799.44290649029</v>
      </c>
      <c r="AD67" s="25">
        <f t="shared" si="6"/>
        <v>392.87824706362977</v>
      </c>
      <c r="AE67" s="25">
        <f>+(AD67)+'Agricultural production'!AJ68</f>
        <v>1824.1142855967787</v>
      </c>
    </row>
    <row r="68" spans="1:31" ht="15" x14ac:dyDescent="0.25">
      <c r="A68">
        <f t="shared" si="5"/>
        <v>1766</v>
      </c>
      <c r="B68" s="24">
        <f>+Population!AN69</f>
        <v>0.26545752983636967</v>
      </c>
      <c r="C68" s="25">
        <f>+Population!X69*Population!Z69*resteconomy!B68</f>
        <v>3881.2076647607373</v>
      </c>
      <c r="D68" s="25">
        <v>122.6197110049975</v>
      </c>
      <c r="E68" s="25">
        <f t="shared" ref="E68:E97" si="7">+((C68*0.46*1*200)/2)+(F68*1500)+D68*100</f>
        <v>226797.52367949366</v>
      </c>
      <c r="F68" s="50">
        <v>24</v>
      </c>
      <c r="G68" s="25">
        <f t="shared" ref="G68:G97" si="8">+H68+I68</f>
        <v>72487.574367966066</v>
      </c>
      <c r="H68" s="25">
        <f>+('Livestock in possession'!R68+'Livestock in possession'!T68/2)*'Agricultural production'!Z69*0.1</f>
        <v>18151.047840330815</v>
      </c>
      <c r="I68" s="25">
        <f>+'Agricultural production'!Q69*'Agricultural production'!AE69*0.2</f>
        <v>54336.526527635258</v>
      </c>
      <c r="K68" s="25">
        <f>+O68*'Agricultural production'!C69</f>
        <v>112051.82943925234</v>
      </c>
      <c r="M68" s="25">
        <f t="shared" ref="M68:M96" si="9">+U68*0.5*T68</f>
        <v>6745.2667000000001</v>
      </c>
      <c r="N68" s="25">
        <f>+'Gross receipts from VOC sales'!B70*0.2</f>
        <v>17867.400000000001</v>
      </c>
      <c r="O68" s="25">
        <v>32.898364485981311</v>
      </c>
      <c r="P68" s="25"/>
      <c r="Q68" s="25">
        <f t="shared" ref="Q68:Q96" si="10">+N68+K68+I68+H68+E68+M68</f>
        <v>435949.59418671206</v>
      </c>
      <c r="R68" s="25">
        <f>+Q68/(Population!AN69*Population!X69)</f>
        <v>76.031236518851259</v>
      </c>
      <c r="S68" s="25"/>
      <c r="T68" s="78">
        <v>164.5187</v>
      </c>
      <c r="U68" s="76">
        <v>82</v>
      </c>
      <c r="V68" s="25">
        <f t="shared" ref="V68:V97" si="11">+E68-(C68*0.46*1*200)/2</f>
        <v>48261.971100499737</v>
      </c>
      <c r="W68" s="25">
        <f>+('Livestock in possession'!I71-'Livestock in possession'!I66)/5</f>
        <v>5505.751459486989</v>
      </c>
      <c r="X68" s="25">
        <f>+('Livestock in possession'!J71-'Livestock in possession'!J66)/5</f>
        <v>29958.507129032165</v>
      </c>
      <c r="Y68" s="25">
        <f>+('Livestock in possession'!B71-'Livestock in possession'!B66)*'Livestock in possession'!F68/5</f>
        <v>414.04033250381235</v>
      </c>
      <c r="Z68" s="25">
        <f>+('Agricultural production'!H72-'Agricultural production'!H67+'Agricultural production'!J72-'Agricultural production'!J67+'Agricultural production'!L72-'Agricultural production'!L67)*'Agricultural production'!W69*2*'Agricultural production'!AE69/5</f>
        <v>1864.7039999999997</v>
      </c>
      <c r="AA68" s="25">
        <f>+('Agricultural production'!B72-'Agricultural production'!B67)/5</f>
        <v>149800</v>
      </c>
      <c r="AB68" s="25">
        <v>46792.755656460664</v>
      </c>
      <c r="AC68" s="25">
        <f>+W68*'Agricultural production'!Z67*300*1.5+46*'Agricultural production'!Z67*resteconomy!X68+resteconomy!Y68*100</f>
        <v>300285.37008054892</v>
      </c>
      <c r="AD68" s="25">
        <f t="shared" si="6"/>
        <v>348.94282973700962</v>
      </c>
      <c r="AE68" s="25">
        <f>+(AD68)+'Agricultural production'!AJ69</f>
        <v>1963.3827377696589</v>
      </c>
    </row>
    <row r="69" spans="1:31" ht="15" x14ac:dyDescent="0.25">
      <c r="A69">
        <f t="shared" ref="A69:A124" si="12">+A68+1</f>
        <v>1767</v>
      </c>
      <c r="B69" s="24">
        <f>+Population!AN70</f>
        <v>0.272407941819791</v>
      </c>
      <c r="C69" s="25">
        <f>+Population!X70*Population!Z70*resteconomy!B69</f>
        <v>4016.6950896390481</v>
      </c>
      <c r="D69" s="25">
        <v>0</v>
      </c>
      <c r="E69" s="25">
        <f t="shared" si="7"/>
        <v>261267.97412339621</v>
      </c>
      <c r="F69" s="50">
        <v>51</v>
      </c>
      <c r="G69" s="25">
        <f t="shared" si="8"/>
        <v>70784.844921366268</v>
      </c>
      <c r="H69" s="25">
        <f>+('Livestock in possession'!R69+'Livestock in possession'!T69/2)*'Agricultural production'!Z70*0.1</f>
        <v>18180.607051699179</v>
      </c>
      <c r="I69" s="25">
        <f>+'Agricultural production'!Q70*'Agricultural production'!AE70*0.2</f>
        <v>52604.237869667093</v>
      </c>
      <c r="K69" s="25">
        <f>+O69*'Agricultural production'!C70</f>
        <v>118162.37288135593</v>
      </c>
      <c r="M69" s="25">
        <f t="shared" si="9"/>
        <v>8719.4910999999993</v>
      </c>
      <c r="N69" s="25">
        <f>+'Gross receipts from VOC sales'!B71*0.2</f>
        <v>7823</v>
      </c>
      <c r="O69" s="25">
        <v>33.559322033898304</v>
      </c>
      <c r="P69" s="25"/>
      <c r="Q69" s="25">
        <f t="shared" si="10"/>
        <v>466757.68302611844</v>
      </c>
      <c r="R69" s="25">
        <f>+Q69/(Population!AN70*Population!X70)</f>
        <v>82.232617897000722</v>
      </c>
      <c r="S69" s="25"/>
      <c r="T69" s="78">
        <v>164.5187</v>
      </c>
      <c r="U69" s="76">
        <v>106</v>
      </c>
      <c r="V69" s="25">
        <f t="shared" si="11"/>
        <v>76500</v>
      </c>
      <c r="W69" s="25">
        <f>+('Livestock in possession'!I72-'Livestock in possession'!I67)/5</f>
        <v>5062.0526770396591</v>
      </c>
      <c r="X69" s="25">
        <f>+('Livestock in possession'!J72-'Livestock in possession'!J67)/5</f>
        <v>35874.055760632982</v>
      </c>
      <c r="Y69" s="25">
        <f>+('Livestock in possession'!B72-'Livestock in possession'!B67)*'Livestock in possession'!F69/5</f>
        <v>533.88197762760205</v>
      </c>
      <c r="Z69" s="25">
        <f>+('Agricultural production'!H73-'Agricultural production'!H68+'Agricultural production'!J73-'Agricultural production'!J68+'Agricultural production'!L73-'Agricultural production'!L68)*'Agricultural production'!W70*2*'Agricultural production'!AE70/5</f>
        <v>1849.3439999999998</v>
      </c>
      <c r="AA69" s="25">
        <f>+('Agricultural production'!B73-'Agricultural production'!B68)/5</f>
        <v>156400</v>
      </c>
      <c r="AB69" s="25">
        <v>47992.647576830488</v>
      </c>
      <c r="AC69" s="25">
        <f>+W69*'Agricultural production'!Z68*300*1.5+46*'Agricultural production'!Z68*resteconomy!X69+resteconomy!Y69*100</f>
        <v>317134.08729687065</v>
      </c>
      <c r="AD69" s="25">
        <f t="shared" si="6"/>
        <v>366.97607887370111</v>
      </c>
      <c r="AE69" s="25">
        <f>+(AD69)+'Agricultural production'!AJ70</f>
        <v>1939.9735160009955</v>
      </c>
    </row>
    <row r="70" spans="1:31" ht="15" x14ac:dyDescent="0.25">
      <c r="A70">
        <f t="shared" si="12"/>
        <v>1768</v>
      </c>
      <c r="B70" s="24">
        <f>+Population!AN71</f>
        <v>0.27219485151298245</v>
      </c>
      <c r="C70" s="25">
        <f>+Population!X71*Population!Z71*resteconomy!B70</f>
        <v>4091.2943666402384</v>
      </c>
      <c r="D70" s="25">
        <v>95.538318881495343</v>
      </c>
      <c r="E70" s="25">
        <f t="shared" si="7"/>
        <v>253253.3727536005</v>
      </c>
      <c r="F70" s="50">
        <v>37</v>
      </c>
      <c r="G70" s="25">
        <f t="shared" si="8"/>
        <v>70651.044129576199</v>
      </c>
      <c r="H70" s="25">
        <f>+('Livestock in possession'!R70+'Livestock in possession'!T70/2)*'Agricultural production'!Z71*0.1</f>
        <v>17728.422643089976</v>
      </c>
      <c r="I70" s="25">
        <f>+'Agricultural production'!Q71*'Agricultural production'!AE71*0.2</f>
        <v>52922.62148648622</v>
      </c>
      <c r="K70" s="25">
        <f>+O70*'Agricultural production'!C71</f>
        <v>128719.5</v>
      </c>
      <c r="M70" s="25">
        <f t="shared" si="9"/>
        <v>17356.722849999998</v>
      </c>
      <c r="N70" s="25">
        <f>+'Gross receipts from VOC sales'!B72*0.2</f>
        <v>24504.800000000003</v>
      </c>
      <c r="O70" s="25">
        <v>34.125</v>
      </c>
      <c r="P70" s="25"/>
      <c r="Q70" s="25">
        <f t="shared" si="10"/>
        <v>494485.43973317672</v>
      </c>
      <c r="R70" s="25">
        <f>+Q70/(Population!AN71*Population!X71)</f>
        <v>85.99053686409961</v>
      </c>
      <c r="S70" s="25"/>
      <c r="T70" s="78">
        <v>164.5187</v>
      </c>
      <c r="U70" s="76">
        <v>211</v>
      </c>
      <c r="V70" s="25">
        <f t="shared" si="11"/>
        <v>65053.831888149522</v>
      </c>
      <c r="W70" s="25">
        <f>+('Livestock in possession'!I73-'Livestock in possession'!I68)/5</f>
        <v>5183.3596259403857</v>
      </c>
      <c r="X70" s="25">
        <f>+('Livestock in possession'!J73-'Livestock in possession'!J68)/5</f>
        <v>33770.371792008613</v>
      </c>
      <c r="Y70" s="25">
        <f>+('Livestock in possession'!B73-'Livestock in possession'!B68)*'Livestock in possession'!F70/5</f>
        <v>900.25042764648572</v>
      </c>
      <c r="Z70" s="25">
        <f>+('Agricultural production'!H74-'Agricultural production'!H69+'Agricultural production'!J74-'Agricultural production'!J69+'Agricultural production'!L74-'Agricultural production'!L69)*'Agricultural production'!W71*2*'Agricultural production'!AE71/5</f>
        <v>-3594.2399999999993</v>
      </c>
      <c r="AA70" s="25">
        <f>+('Agricultural production'!B74-'Agricultural production'!B69)/5</f>
        <v>164020</v>
      </c>
      <c r="AB70" s="25">
        <v>49994.064237330742</v>
      </c>
      <c r="AC70" s="25">
        <f>+W70*'Agricultural production'!Z69*300*1.5+46*'Agricultural production'!Z69*resteconomy!X70+resteconomy!Y70*100</f>
        <v>350938.75691173685</v>
      </c>
      <c r="AD70" s="25">
        <f t="shared" ref="AD70:AD93" si="13">+(AC70+AB70+Z70)/1000</f>
        <v>397.33858114906764</v>
      </c>
      <c r="AE70" s="25">
        <f>+(AD70)+'Agricultural production'!AJ71</f>
        <v>2014.6839344020636</v>
      </c>
    </row>
    <row r="71" spans="1:31" ht="15" x14ac:dyDescent="0.25">
      <c r="A71">
        <f t="shared" si="12"/>
        <v>1769</v>
      </c>
      <c r="B71" s="24">
        <f>+Population!AN72</f>
        <v>0.26940888598842938</v>
      </c>
      <c r="C71" s="25">
        <f>+Population!X72*Population!Z72*resteconomy!B71</f>
        <v>4159.0147257744466</v>
      </c>
      <c r="D71" s="25">
        <v>151.7439401327315</v>
      </c>
      <c r="E71" s="25">
        <f t="shared" si="7"/>
        <v>345989.07139889768</v>
      </c>
      <c r="F71" s="50">
        <v>93</v>
      </c>
      <c r="G71" s="25">
        <f t="shared" si="8"/>
        <v>72736.262454782642</v>
      </c>
      <c r="H71" s="25">
        <f>+('Livestock in possession'!R71+'Livestock in possession'!T71/2)*'Agricultural production'!Z72*0.1</f>
        <v>18714.495911435351</v>
      </c>
      <c r="I71" s="25">
        <f>+'Agricultural production'!Q72*'Agricultural production'!AE72*0.2</f>
        <v>54021.766543347287</v>
      </c>
      <c r="K71" s="25">
        <f>+O71*'Agricultural production'!C72</f>
        <v>157238.73759305212</v>
      </c>
      <c r="M71" s="25">
        <f t="shared" si="9"/>
        <v>4112.9674999999997</v>
      </c>
      <c r="N71" s="25">
        <f>+'Gross receipts from VOC sales'!B73*0.2</f>
        <v>20391.400000000001</v>
      </c>
      <c r="O71" s="25">
        <v>34.001240694789082</v>
      </c>
      <c r="P71" s="25"/>
      <c r="Q71" s="25">
        <f t="shared" si="10"/>
        <v>600468.43894673244</v>
      </c>
      <c r="R71" s="25">
        <f>+Q71/(Population!AN72*Population!X72)</f>
        <v>102.14260819200057</v>
      </c>
      <c r="S71" s="25"/>
      <c r="T71" s="78">
        <v>164.5187</v>
      </c>
      <c r="U71" s="76">
        <v>50</v>
      </c>
      <c r="V71" s="25">
        <f t="shared" si="11"/>
        <v>154674.39401327312</v>
      </c>
      <c r="W71" s="25">
        <f>+('Livestock in possession'!I74-'Livestock in possession'!I69)/5</f>
        <v>5118.7509862150155</v>
      </c>
      <c r="X71" s="25">
        <f>+('Livestock in possession'!J74-'Livestock in possession'!J69)/5</f>
        <v>27019.599864609096</v>
      </c>
      <c r="Y71" s="25">
        <f>+('Livestock in possession'!B74-'Livestock in possession'!B69)*'Livestock in possession'!F71/5</f>
        <v>525.90536299502924</v>
      </c>
      <c r="Z71" s="25">
        <f>+('Agricultural production'!H75-'Agricultural production'!H70+'Agricultural production'!J75-'Agricultural production'!J70+'Agricultural production'!L75-'Agricultural production'!L70)*'Agricultural production'!W72*2*'Agricultural production'!AE72/5</f>
        <v>1738.3680000000004</v>
      </c>
      <c r="AA71" s="25">
        <f>+('Agricultural production'!B75-'Agricultural production'!B70)/5</f>
        <v>99200</v>
      </c>
      <c r="AB71" s="25">
        <v>28618.94915267438</v>
      </c>
      <c r="AC71" s="25">
        <f>+W71*'Agricultural production'!Z70*300*1.5+46*'Agricultural production'!Z70*resteconomy!X71+resteconomy!Y71*100</f>
        <v>290701.90525054932</v>
      </c>
      <c r="AD71" s="25">
        <f t="shared" si="13"/>
        <v>321.05922240322377</v>
      </c>
      <c r="AE71" s="25">
        <f>+(AD71)+'Agricultural production'!AJ72</f>
        <v>1925.2903339360478</v>
      </c>
    </row>
    <row r="72" spans="1:31" ht="15" x14ac:dyDescent="0.25">
      <c r="A72">
        <f t="shared" si="12"/>
        <v>1770</v>
      </c>
      <c r="B72" s="24">
        <f>+Population!AN73</f>
        <v>0.26873572534727486</v>
      </c>
      <c r="C72" s="25">
        <f>+Population!X73*Population!Z73*resteconomy!B72</f>
        <v>4233.7455293184566</v>
      </c>
      <c r="D72" s="25">
        <v>206.33480674604152</v>
      </c>
      <c r="E72" s="25">
        <f t="shared" si="7"/>
        <v>345885.77502325311</v>
      </c>
      <c r="F72" s="50">
        <v>87</v>
      </c>
      <c r="G72" s="25">
        <f t="shared" si="8"/>
        <v>68313.369652776557</v>
      </c>
      <c r="H72" s="25">
        <f>+('Livestock in possession'!R72+'Livestock in possession'!T72/2)*'Agricultural production'!Z73*0.1</f>
        <v>17995.917791933618</v>
      </c>
      <c r="I72" s="25">
        <f>+'Agricultural production'!Q73*'Agricultural production'!AE73*0.2</f>
        <v>50317.451860842935</v>
      </c>
      <c r="K72" s="25">
        <f>+O72*'Agricultural production'!C73</f>
        <v>124423.56572164949</v>
      </c>
      <c r="M72" s="25">
        <f t="shared" si="9"/>
        <v>16534.129349999999</v>
      </c>
      <c r="N72" s="25">
        <f>+'Gross receipts from VOC sales'!B74*0.2</f>
        <v>17625.100000000002</v>
      </c>
      <c r="O72" s="25">
        <v>31.293653350515463</v>
      </c>
      <c r="P72" s="25"/>
      <c r="Q72" s="25">
        <f t="shared" si="10"/>
        <v>572781.93974767905</v>
      </c>
      <c r="R72" s="25">
        <f>+Q72/(Population!AN73*Population!X73)</f>
        <v>94.667358957101044</v>
      </c>
      <c r="S72" s="25"/>
      <c r="T72" s="78">
        <v>164.5187</v>
      </c>
      <c r="U72" s="76">
        <v>201</v>
      </c>
      <c r="V72" s="25">
        <f t="shared" si="11"/>
        <v>151133.4806746041</v>
      </c>
      <c r="W72" s="25">
        <f>+('Livestock in possession'!I75-'Livestock in possession'!I70)/5</f>
        <v>5194.9018446830069</v>
      </c>
      <c r="X72" s="25">
        <f>+('Livestock in possession'!J75-'Livestock in possession'!J70)/5</f>
        <v>29120.470028088079</v>
      </c>
      <c r="Y72" s="25">
        <f>+('Livestock in possession'!B75-'Livestock in possession'!B70)*'Livestock in possession'!F72/5</f>
        <v>750.59912827567655</v>
      </c>
      <c r="Z72" s="25">
        <f>+('Agricultural production'!H76-'Agricultural production'!H71+'Agricultural production'!J76-'Agricultural production'!J71+'Agricultural production'!L76-'Agricultural production'!L71)*'Agricultural production'!W73*2*'Agricultural production'!AE73/5</f>
        <v>4143.7440000000006</v>
      </c>
      <c r="AA72" s="25">
        <f>+('Agricultural production'!B76-'Agricultural production'!B71)/5</f>
        <v>285000</v>
      </c>
      <c r="AB72" s="25">
        <v>80244.965926917663</v>
      </c>
      <c r="AC72" s="25">
        <f>+W72*'Agricultural production'!Z71*300*1.5+46*'Agricultural production'!Z71*resteconomy!X72+resteconomy!Y72*100</f>
        <v>321960.8131358134</v>
      </c>
      <c r="AD72" s="25">
        <f t="shared" si="13"/>
        <v>406.34952306273107</v>
      </c>
      <c r="AE72" s="25">
        <f>+(AD72)+'Agricultural production'!AJ73</f>
        <v>2036.1551196755631</v>
      </c>
    </row>
    <row r="73" spans="1:31" ht="15" x14ac:dyDescent="0.25">
      <c r="A73">
        <f t="shared" si="12"/>
        <v>1771</v>
      </c>
      <c r="B73" s="24">
        <f>+Population!AN74</f>
        <v>0.26964748195893351</v>
      </c>
      <c r="C73" s="25">
        <f>+Population!X74*Population!Z74*resteconomy!B73</f>
        <v>4503.1449980180278</v>
      </c>
      <c r="D73" s="25">
        <v>240.49612567174654</v>
      </c>
      <c r="E73" s="25">
        <f t="shared" si="7"/>
        <v>348194.28247600392</v>
      </c>
      <c r="F73" s="50">
        <v>78</v>
      </c>
      <c r="G73" s="25">
        <f t="shared" si="8"/>
        <v>72763.172781315501</v>
      </c>
      <c r="H73" s="25">
        <f>+('Livestock in possession'!R73+'Livestock in possession'!T73/2)*'Agricultural production'!Z74*0.1</f>
        <v>20239.3613288263</v>
      </c>
      <c r="I73" s="25">
        <f>+'Agricultural production'!Q74*'Agricultural production'!AE74*0.2</f>
        <v>52523.811452489201</v>
      </c>
      <c r="K73" s="25">
        <f>+O73*'Agricultural production'!C74</f>
        <v>117464.50310173696</v>
      </c>
      <c r="M73" s="25">
        <f t="shared" si="9"/>
        <v>10775.974850000001</v>
      </c>
      <c r="N73" s="25">
        <f>+'Gross receipts from VOC sales'!B75*0.2</f>
        <v>14858.800000000001</v>
      </c>
      <c r="O73" s="25">
        <v>31.042416253101734</v>
      </c>
      <c r="P73" s="25"/>
      <c r="Q73" s="25">
        <f t="shared" si="10"/>
        <v>564056.73320905643</v>
      </c>
      <c r="R73" s="25">
        <f>+Q73/(Population!AN74*Population!X74)</f>
        <v>88.244119732412358</v>
      </c>
      <c r="S73" s="25"/>
      <c r="T73" s="78">
        <v>164.5187</v>
      </c>
      <c r="U73" s="76">
        <v>131</v>
      </c>
      <c r="V73" s="25">
        <f t="shared" si="11"/>
        <v>141049.61256717463</v>
      </c>
      <c r="W73" s="25">
        <f>+('Livestock in possession'!I76-'Livestock in possession'!I71)/5</f>
        <v>5023.8334505723788</v>
      </c>
      <c r="X73" s="25">
        <f>+('Livestock in possession'!J76-'Livestock in possession'!J71)/5</f>
        <v>45185.896627614646</v>
      </c>
      <c r="Y73" s="25">
        <f>+('Livestock in possession'!B76-'Livestock in possession'!B71)*'Livestock in possession'!F73/5</f>
        <v>763.9912041565359</v>
      </c>
      <c r="Z73" s="25">
        <f>+('Agricultural production'!H77-'Agricultural production'!H72+'Agricultural production'!J77-'Agricultural production'!J72+'Agricultural production'!L77-'Agricultural production'!L72)*'Agricultural production'!W74*2*'Agricultural production'!AE74/5</f>
        <v>5290.5599999999995</v>
      </c>
      <c r="AA73" s="25">
        <f>+('Agricultural production'!B77-'Agricultural production'!B72)/5</f>
        <v>191400</v>
      </c>
      <c r="AB73" s="25">
        <v>50976.830057537409</v>
      </c>
      <c r="AC73" s="25">
        <f>+W73*'Agricultural production'!Z72*300*1.5+46*'Agricultural production'!Z72*resteconomy!X73+resteconomy!Y73*100</f>
        <v>351478.24285456154</v>
      </c>
      <c r="AD73" s="25">
        <f t="shared" si="13"/>
        <v>407.74563291209893</v>
      </c>
      <c r="AE73" s="25">
        <f>+(AD73)+'Agricultural production'!AJ74</f>
        <v>2061.8842272268198</v>
      </c>
    </row>
    <row r="74" spans="1:31" ht="15" x14ac:dyDescent="0.25">
      <c r="A74">
        <f t="shared" si="12"/>
        <v>1772</v>
      </c>
      <c r="B74" s="24">
        <f>+Population!AN75</f>
        <v>0.26700395370122465</v>
      </c>
      <c r="C74" s="25">
        <f>+Population!X75*Population!Z75*resteconomy!B74</f>
        <v>4677.9051333693396</v>
      </c>
      <c r="D74" s="25">
        <v>185.84233126751724</v>
      </c>
      <c r="E74" s="25">
        <f t="shared" si="7"/>
        <v>325267.86926174141</v>
      </c>
      <c r="F74" s="50">
        <v>61</v>
      </c>
      <c r="G74" s="25">
        <f t="shared" si="8"/>
        <v>76420.997848217477</v>
      </c>
      <c r="H74" s="25">
        <f>+('Livestock in possession'!R74+'Livestock in possession'!T74/2)*'Agricultural production'!Z75*0.1</f>
        <v>22163.174499093595</v>
      </c>
      <c r="I74" s="25">
        <f>+'Agricultural production'!Q75*'Agricultural production'!AE75*0.2</f>
        <v>54257.823349123879</v>
      </c>
      <c r="K74" s="25">
        <f>+O74*'Agricultural production'!C75</f>
        <v>58709.808007812491</v>
      </c>
      <c r="M74" s="25">
        <f t="shared" si="9"/>
        <v>10117.90005</v>
      </c>
      <c r="N74" s="25">
        <f>+'Gross receipts from VOC sales'!B76*0.2</f>
        <v>13818.800000000001</v>
      </c>
      <c r="O74" s="25">
        <v>30.348828124999997</v>
      </c>
      <c r="P74" s="25"/>
      <c r="Q74" s="25">
        <f t="shared" si="10"/>
        <v>484335.37516777136</v>
      </c>
      <c r="R74" s="25">
        <f>+Q74/(Population!AN75*Population!X75)</f>
        <v>73.582154913294531</v>
      </c>
      <c r="S74" s="25"/>
      <c r="T74" s="78">
        <v>164.5187</v>
      </c>
      <c r="U74" s="76">
        <v>123</v>
      </c>
      <c r="V74" s="25">
        <f t="shared" si="11"/>
        <v>110084.23312675176</v>
      </c>
      <c r="W74" s="25">
        <f>+('Livestock in possession'!I77-'Livestock in possession'!I72)/5</f>
        <v>6946.0117714131366</v>
      </c>
      <c r="X74" s="25">
        <f>+('Livestock in possession'!J77-'Livestock in possession'!J72)/5</f>
        <v>30802.794202113619</v>
      </c>
      <c r="Y74" s="25">
        <f>+('Livestock in possession'!B77-'Livestock in possession'!B72)*'Livestock in possession'!F74/5</f>
        <v>707.10196188362454</v>
      </c>
      <c r="Z74" s="25">
        <f>+('Agricultural production'!H78-'Agricultural production'!H73+'Agricultural production'!J78-'Agricultural production'!J73+'Agricultural production'!L78-'Agricultural production'!L73)*'Agricultural production'!W75*2*'Agricultural production'!AE75/5</f>
        <v>4118.5184810126575</v>
      </c>
      <c r="AA74" s="25">
        <f>+('Agricultural production'!B78-'Agricultural production'!B73)/5</f>
        <v>88000</v>
      </c>
      <c r="AB74" s="25">
        <v>23494.562864269825</v>
      </c>
      <c r="AC74" s="25">
        <f>+W74*'Agricultural production'!Z73*300*1.5+46*'Agricultural production'!Z73*resteconomy!X74+resteconomy!Y74*100</f>
        <v>358680.73365332035</v>
      </c>
      <c r="AD74" s="25">
        <f t="shared" si="13"/>
        <v>386.29381499860284</v>
      </c>
      <c r="AE74" s="25">
        <f>+(AD74)+'Agricultural production'!AJ75</f>
        <v>1985.4260214021497</v>
      </c>
    </row>
    <row r="75" spans="1:31" ht="15" x14ac:dyDescent="0.25">
      <c r="A75">
        <f t="shared" si="12"/>
        <v>1773</v>
      </c>
      <c r="B75" s="24">
        <f>+Population!AN76</f>
        <v>0.25808906993608755</v>
      </c>
      <c r="C75" s="25">
        <f>+Population!X76*Population!Z76*resteconomy!B75</f>
        <v>4659.9587506173511</v>
      </c>
      <c r="D75" s="25">
        <v>196.66079419603102</v>
      </c>
      <c r="E75" s="25">
        <f t="shared" si="7"/>
        <v>300024.18194800126</v>
      </c>
      <c r="F75" s="50">
        <v>44</v>
      </c>
      <c r="G75" s="25">
        <f t="shared" si="8"/>
        <v>77476.287321496653</v>
      </c>
      <c r="H75" s="25">
        <f>+('Livestock in possession'!R75+'Livestock in possession'!T75/2)*'Agricultural production'!Z76*0.1</f>
        <v>21996.757466687999</v>
      </c>
      <c r="I75" s="25">
        <f>+'Agricultural production'!Q76*'Agricultural production'!AE76*0.2</f>
        <v>55479.529854808658</v>
      </c>
      <c r="K75" s="25">
        <f>+O75*'Agricultural production'!C76</f>
        <v>161392.22612359546</v>
      </c>
      <c r="M75" s="25">
        <f t="shared" si="9"/>
        <v>11105.01225</v>
      </c>
      <c r="N75" s="25">
        <f>+'Gross receipts from VOC sales'!B77*0.2</f>
        <v>14448</v>
      </c>
      <c r="O75" s="25">
        <v>30.268609550561791</v>
      </c>
      <c r="P75" s="25"/>
      <c r="Q75" s="25">
        <f t="shared" si="10"/>
        <v>564445.70764309342</v>
      </c>
      <c r="R75" s="25">
        <f>+Q75/(Population!AN76*Population!X76)</f>
        <v>85.970332274962487</v>
      </c>
      <c r="S75" s="25"/>
      <c r="T75" s="78">
        <v>164.5187</v>
      </c>
      <c r="U75" s="76">
        <v>135</v>
      </c>
      <c r="V75" s="25">
        <f t="shared" si="11"/>
        <v>85666.079419603106</v>
      </c>
      <c r="W75" s="25">
        <f>+('Livestock in possession'!I78-'Livestock in possession'!I73)/5</f>
        <v>9716.1871973675788</v>
      </c>
      <c r="X75" s="25">
        <f>+('Livestock in possession'!J78-'Livestock in possession'!J73)/5</f>
        <v>52343.210462370465</v>
      </c>
      <c r="Y75" s="25">
        <f>+('Livestock in possession'!B78-'Livestock in possession'!B73)*'Livestock in possession'!F75/5</f>
        <v>697.64199999999892</v>
      </c>
      <c r="Z75" s="25">
        <f>+('Agricultural production'!H79-'Agricultural production'!H74+'Agricultural production'!J79-'Agricultural production'!J74+'Agricultural production'!L79-'Agricultural production'!L74)*'Agricultural production'!W76*2*'Agricultural production'!AE76/5</f>
        <v>2021.2544539877301</v>
      </c>
      <c r="AA75" s="25">
        <f>+('Agricultural production'!B79-'Agricultural production'!B74)/5</f>
        <v>459040</v>
      </c>
      <c r="AB75" s="25">
        <v>117732.65103722454</v>
      </c>
      <c r="AC75" s="25">
        <f>+W75*'Agricultural production'!Z74*300*1.5+46*'Agricultural production'!Z74*resteconomy!X75+resteconomy!Y75*100</f>
        <v>499572.33064821066</v>
      </c>
      <c r="AD75" s="25">
        <f t="shared" si="13"/>
        <v>619.32623613942292</v>
      </c>
      <c r="AE75" s="25">
        <f>+(AD75)+'Agricultural production'!AJ76</f>
        <v>2757.6107216294431</v>
      </c>
    </row>
    <row r="76" spans="1:31" ht="15" x14ac:dyDescent="0.25">
      <c r="A76">
        <f t="shared" si="12"/>
        <v>1774</v>
      </c>
      <c r="B76" s="24">
        <f>+Population!AN77</f>
        <v>0.26272079925134362</v>
      </c>
      <c r="C76" s="25">
        <f>+Population!X77*Population!Z77*resteconomy!B76</f>
        <v>4983.6477562705832</v>
      </c>
      <c r="D76" s="25">
        <v>183.66637506209372</v>
      </c>
      <c r="E76" s="25">
        <f t="shared" si="7"/>
        <v>336114.43429465621</v>
      </c>
      <c r="F76" s="50">
        <v>59</v>
      </c>
      <c r="G76" s="25">
        <f t="shared" si="8"/>
        <v>68586.605636506705</v>
      </c>
      <c r="H76" s="25">
        <f>+('Livestock in possession'!R76+'Livestock in possession'!T76/2)*'Agricultural production'!Z77*0.1</f>
        <v>11064.629591308536</v>
      </c>
      <c r="I76" s="25">
        <f>+'Agricultural production'!Q77*'Agricultural production'!AE77*0.2</f>
        <v>57521.976045198171</v>
      </c>
      <c r="K76" s="25">
        <f>+O76*'Agricultural production'!C77</f>
        <v>76888.085449218735</v>
      </c>
      <c r="M76" s="25">
        <f t="shared" si="9"/>
        <v>15300.239099999999</v>
      </c>
      <c r="N76" s="25">
        <f>+'Gross receipts from VOC sales'!B78*0.2</f>
        <v>15157.400000000001</v>
      </c>
      <c r="O76" s="25">
        <v>29.447753906249993</v>
      </c>
      <c r="P76" s="25"/>
      <c r="Q76" s="25">
        <f t="shared" si="10"/>
        <v>512046.76448038168</v>
      </c>
      <c r="R76" s="25">
        <f>+Q76/(Population!AN77*Population!X77)</f>
        <v>72.961416985925382</v>
      </c>
      <c r="S76" s="25"/>
      <c r="T76" s="78">
        <v>164.5187</v>
      </c>
      <c r="U76" s="76">
        <v>186</v>
      </c>
      <c r="V76" s="25">
        <f t="shared" si="11"/>
        <v>106866.63750620937</v>
      </c>
      <c r="W76" s="25">
        <f>+('Livestock in possession'!I79-'Livestock in possession'!I74)/5</f>
        <v>17137.546003410971</v>
      </c>
      <c r="X76" s="25">
        <f>+('Livestock in possession'!J79-'Livestock in possession'!J74)/5</f>
        <v>70368.58928263656</v>
      </c>
      <c r="Y76" s="25">
        <f>+('Livestock in possession'!B79-'Livestock in possession'!B74)*'Livestock in possession'!F76/5</f>
        <v>646.27912504594406</v>
      </c>
      <c r="Z76" s="25">
        <f>+('Agricultural production'!H80-'Agricultural production'!H75+'Agricultural production'!J80-'Agricultural production'!J75+'Agricultural production'!L80-'Agricultural production'!L75)*'Agricultural production'!W77*2*'Agricultural production'!AE77/5</f>
        <v>4069.3919999999998</v>
      </c>
      <c r="AA76" s="25">
        <f>+('Agricultural production'!B80-'Agricultural production'!B75)/5</f>
        <v>422800</v>
      </c>
      <c r="AB76" s="25">
        <v>103391.21618109693</v>
      </c>
      <c r="AC76" s="25">
        <f>+W76*'Agricultural production'!Z75*300*1.5+46*'Agricultural production'!Z75*resteconomy!X76+resteconomy!Y76*100</f>
        <v>758706.8476885868</v>
      </c>
      <c r="AD76" s="25">
        <f t="shared" si="13"/>
        <v>866.16745586968375</v>
      </c>
      <c r="AE76" s="25">
        <f>+(AD76)+'Agricultural production'!AJ77</f>
        <v>2839.4309583026297</v>
      </c>
    </row>
    <row r="77" spans="1:31" ht="15" x14ac:dyDescent="0.25">
      <c r="A77">
        <f t="shared" si="12"/>
        <v>1775</v>
      </c>
      <c r="B77" s="24">
        <f>+Population!AN78</f>
        <v>0.27385865944383925</v>
      </c>
      <c r="C77" s="25">
        <f>+Population!X78*Population!Z78*resteconomy!B77</f>
        <v>5335.2560127440729</v>
      </c>
      <c r="D77" s="25">
        <v>327.82176853603414</v>
      </c>
      <c r="E77" s="25">
        <f t="shared" si="7"/>
        <v>408703.95343983074</v>
      </c>
      <c r="F77" s="50">
        <v>87</v>
      </c>
      <c r="G77" s="25">
        <f t="shared" si="8"/>
        <v>69492.23391284619</v>
      </c>
      <c r="H77" s="25">
        <f>+('Livestock in possession'!R77+'Livestock in possession'!T77/2)*'Agricultural production'!Z78*0.1</f>
        <v>10982.487696192613</v>
      </c>
      <c r="I77" s="25">
        <f>+'Agricultural production'!Q78*'Agricultural production'!AE78*0.2</f>
        <v>58509.74621665357</v>
      </c>
      <c r="K77" s="25">
        <f>+O77*'Agricultural production'!C78</f>
        <v>171780.49445983378</v>
      </c>
      <c r="M77" s="25">
        <f t="shared" si="9"/>
        <v>16945.426100000001</v>
      </c>
      <c r="N77" s="25">
        <f>+'Gross receipts from VOC sales'!B79*0.2</f>
        <v>15866.800000000001</v>
      </c>
      <c r="O77" s="25">
        <v>31.074619113573405</v>
      </c>
      <c r="P77" s="25"/>
      <c r="Q77" s="25">
        <f t="shared" si="10"/>
        <v>682788.90791251068</v>
      </c>
      <c r="R77" s="25">
        <f>+Q77/(Population!AN78*Population!X78)</f>
        <v>90.604972635307888</v>
      </c>
      <c r="S77" s="25"/>
      <c r="T77" s="78">
        <v>164.5187</v>
      </c>
      <c r="U77" s="76">
        <v>206</v>
      </c>
      <c r="V77" s="25">
        <f t="shared" si="11"/>
        <v>163282.17685360339</v>
      </c>
      <c r="W77" s="25">
        <f>+('Livestock in possession'!I80-'Livestock in possession'!I75)/5</f>
        <v>14543.268799034699</v>
      </c>
      <c r="X77" s="25">
        <f>+('Livestock in possession'!J80-'Livestock in possession'!J75)/5</f>
        <v>49096.910135439204</v>
      </c>
      <c r="Y77" s="25">
        <f>+('Livestock in possession'!B80-'Livestock in possession'!B75)*'Livestock in possession'!F77/5</f>
        <v>504.2878823351374</v>
      </c>
      <c r="Z77" s="25">
        <f>+('Agricultural production'!H81-'Agricultural production'!H76+'Agricultural production'!J81-'Agricultural production'!J76+'Agricultural production'!L81-'Agricultural production'!L76)*'Agricultural production'!W78*2*'Agricultural production'!AE78/5</f>
        <v>-1640.4043438914027</v>
      </c>
      <c r="AA77" s="25">
        <f>+('Agricultural production'!B81-'Agricultural production'!B76)/5</f>
        <v>86720</v>
      </c>
      <c r="AB77" s="25">
        <v>21858.62030566328</v>
      </c>
      <c r="AC77" s="25">
        <f>+W77*'Agricultural production'!Z76*300*1.5+46*'Agricultural production'!Z76*resteconomy!X77+resteconomy!Y77*100</f>
        <v>608471.59772592713</v>
      </c>
      <c r="AD77" s="25">
        <f t="shared" si="13"/>
        <v>628.68981368769903</v>
      </c>
      <c r="AE77" s="25">
        <f>+(AD77)+'Agricultural production'!AJ78</f>
        <v>2528.075140473491</v>
      </c>
    </row>
    <row r="78" spans="1:31" ht="15" x14ac:dyDescent="0.25">
      <c r="A78">
        <f t="shared" si="12"/>
        <v>1776</v>
      </c>
      <c r="B78" s="24">
        <f>+Population!AN79</f>
        <v>0.2827882399344866</v>
      </c>
      <c r="C78" s="25">
        <f>+Population!X79*Population!Z79*resteconomy!B78</f>
        <v>5956.0937860590184</v>
      </c>
      <c r="D78" s="25">
        <v>313.49087268635321</v>
      </c>
      <c r="E78" s="25">
        <f t="shared" si="7"/>
        <v>402829.40142735024</v>
      </c>
      <c r="F78" s="50">
        <v>65</v>
      </c>
      <c r="G78" s="25">
        <f t="shared" si="8"/>
        <v>74032.24198311675</v>
      </c>
      <c r="H78" s="25">
        <f>+('Livestock in possession'!R78+'Livestock in possession'!T78/2)*'Agricultural production'!Z79*0.1</f>
        <v>11558.181358886797</v>
      </c>
      <c r="I78" s="25">
        <f>+'Agricultural production'!Q79*'Agricultural production'!AE79*0.2</f>
        <v>62474.060624229947</v>
      </c>
      <c r="K78" s="25">
        <f>+O78*'Agricultural production'!C79</f>
        <v>126584.45519879861</v>
      </c>
      <c r="M78" s="25">
        <f t="shared" si="9"/>
        <v>13161.495999999999</v>
      </c>
      <c r="N78" s="25">
        <f>+'Gross receipts from VOC sales'!B80*0.2</f>
        <v>14707.2</v>
      </c>
      <c r="O78" s="25">
        <v>29.975007151029743</v>
      </c>
      <c r="P78" s="25"/>
      <c r="Q78" s="25">
        <f t="shared" si="10"/>
        <v>631314.79460926563</v>
      </c>
      <c r="R78" s="25">
        <f>+Q78/(Population!AN79*Population!X79)</f>
        <v>75.273205028335198</v>
      </c>
      <c r="S78" s="25"/>
      <c r="T78" s="78">
        <v>164.5187</v>
      </c>
      <c r="U78" s="76">
        <v>160</v>
      </c>
      <c r="V78" s="25">
        <f t="shared" si="11"/>
        <v>128849.08726863534</v>
      </c>
      <c r="W78" s="25">
        <f>+('Livestock in possession'!I81-'Livestock in possession'!I76)/5</f>
        <v>34252.94160435188</v>
      </c>
      <c r="X78" s="25">
        <f>+('Livestock in possession'!J81-'Livestock in possession'!J76)/5</f>
        <v>34917.025427123066</v>
      </c>
      <c r="Y78" s="25">
        <f>+('Livestock in possession'!B81-'Livestock in possession'!B76)*'Livestock in possession'!F78/5</f>
        <v>435.14232638118926</v>
      </c>
      <c r="Z78" s="25">
        <f>+('Agricultural production'!H82-'Agricultural production'!H77+'Agricultural production'!J82-'Agricultural production'!J77+'Agricultural production'!L82-'Agricultural production'!L77)*'Agricultural production'!W79*2*'Agricultural production'!AE79/5</f>
        <v>1879.7047508690612</v>
      </c>
      <c r="AA78" s="25">
        <f>+('Agricultural production'!B82-'Agricultural production'!B77)/5</f>
        <v>200000</v>
      </c>
      <c r="AB78" s="25">
        <v>50322.219723989176</v>
      </c>
      <c r="AC78" s="25">
        <f>+W78*'Agricultural production'!Z77*300*1.5+46*'Agricultural production'!Z77*resteconomy!X78+resteconomy!Y78*100</f>
        <v>561206.1089244684</v>
      </c>
      <c r="AD78" s="25">
        <f t="shared" si="13"/>
        <v>613.40803339932665</v>
      </c>
      <c r="AE78" s="25">
        <f>+(AD78)+'Agricultural production'!AJ79</f>
        <v>2486.6334288045528</v>
      </c>
    </row>
    <row r="79" spans="1:31" ht="15" x14ac:dyDescent="0.25">
      <c r="A79">
        <f t="shared" si="12"/>
        <v>1777</v>
      </c>
      <c r="B79" s="24">
        <f>+Population!AN80</f>
        <v>0.29425063615845903</v>
      </c>
      <c r="C79" s="25">
        <f>+Population!X80*Population!Z80*resteconomy!B79</f>
        <v>6219.1637483353397</v>
      </c>
      <c r="D79" s="25">
        <v>157.01414318900061</v>
      </c>
      <c r="E79" s="25">
        <f t="shared" si="7"/>
        <v>360282.94674232567</v>
      </c>
      <c r="F79" s="50">
        <v>39</v>
      </c>
      <c r="G79" s="25">
        <f t="shared" si="8"/>
        <v>74269.355758729536</v>
      </c>
      <c r="H79" s="25">
        <f>+('Livestock in possession'!R79+'Livestock in possession'!T79/2)*'Agricultural production'!Z80*0.1</f>
        <v>11221.853888011872</v>
      </c>
      <c r="I79" s="25">
        <f>+'Agricultural production'!Q80*'Agricultural production'!AE80*0.2</f>
        <v>63047.501870717657</v>
      </c>
      <c r="K79" s="25">
        <f>+O79*'Agricultural production'!C80</f>
        <v>85927.029713114738</v>
      </c>
      <c r="M79" s="25">
        <f t="shared" si="9"/>
        <v>23032.617999999999</v>
      </c>
      <c r="N79" s="25">
        <f>+'Gross receipts from VOC sales'!B81*0.2</f>
        <v>14000</v>
      </c>
      <c r="O79" s="25">
        <v>30.886782786885242</v>
      </c>
      <c r="P79" s="25"/>
      <c r="Q79" s="25">
        <f t="shared" si="10"/>
        <v>557511.95021416992</v>
      </c>
      <c r="R79" s="25">
        <f>+Q79/(Population!AN80*Population!X80)</f>
        <v>63.005345576000757</v>
      </c>
      <c r="S79" s="25"/>
      <c r="T79" s="78">
        <v>164.5187</v>
      </c>
      <c r="U79" s="76">
        <v>280</v>
      </c>
      <c r="V79" s="25">
        <f t="shared" si="11"/>
        <v>74201.414318900032</v>
      </c>
      <c r="W79" s="25">
        <f>+('Livestock in possession'!I82-'Livestock in possession'!I77)/5</f>
        <v>12095.724520720996</v>
      </c>
      <c r="X79" s="25">
        <f>+('Livestock in possession'!J82-'Livestock in possession'!J77)/5</f>
        <v>28324.292828658432</v>
      </c>
      <c r="Y79" s="25">
        <f>+('Livestock in possession'!B82-'Livestock in possession'!B77)*'Livestock in possession'!F79/5</f>
        <v>435.53525466981637</v>
      </c>
      <c r="Z79" s="25">
        <f>+('Agricultural production'!H83-'Agricultural production'!H78+'Agricultural production'!J83-'Agricultural production'!J78+'Agricultural production'!L83-'Agricultural production'!L78)*'Agricultural production'!W80*2*'Agricultural production'!AE80/5</f>
        <v>880</v>
      </c>
      <c r="AA79" s="25">
        <f>+('Agricultural production'!B83-'Agricultural production'!B78)/5</f>
        <v>281720</v>
      </c>
      <c r="AB79" s="25">
        <v>75020.266623472868</v>
      </c>
      <c r="AC79" s="25">
        <f>+W79*'Agricultural production'!Z78*300*1.5+46*'Agricultural production'!Z78*resteconomy!X79+resteconomy!Y79*100</f>
        <v>248744.16122711488</v>
      </c>
      <c r="AD79" s="25">
        <f t="shared" si="13"/>
        <v>324.64442785058776</v>
      </c>
      <c r="AE79" s="25">
        <f>+(AD79)+'Agricultural production'!AJ80</f>
        <v>1824.2748108635567</v>
      </c>
    </row>
    <row r="80" spans="1:31" ht="15" x14ac:dyDescent="0.25">
      <c r="A80">
        <f t="shared" si="12"/>
        <v>1778</v>
      </c>
      <c r="B80" s="24">
        <f>+Population!AN81</f>
        <v>0.3040727513628862</v>
      </c>
      <c r="C80" s="25">
        <f>+Population!X81*Population!Z81*resteconomy!B80</f>
        <v>6681.4629058582677</v>
      </c>
      <c r="D80" s="25">
        <v>184.36707752759776</v>
      </c>
      <c r="E80" s="25">
        <f t="shared" si="7"/>
        <v>424784.00142224011</v>
      </c>
      <c r="F80" s="50">
        <v>66</v>
      </c>
      <c r="G80" s="25">
        <f t="shared" si="8"/>
        <v>76335.960491929669</v>
      </c>
      <c r="H80" s="25">
        <f>+('Livestock in possession'!R80+'Livestock in possession'!T80/2)*'Agricultural production'!Z81*0.1</f>
        <v>11594.539087706726</v>
      </c>
      <c r="I80" s="25">
        <f>+'Agricultural production'!Q81*'Agricultural production'!AE81*0.2</f>
        <v>64741.421404222936</v>
      </c>
      <c r="K80" s="25">
        <f>+O80*'Agricultural production'!C81</f>
        <v>142043.3855016313</v>
      </c>
      <c r="M80" s="25">
        <f t="shared" si="9"/>
        <v>8225.9349999999995</v>
      </c>
      <c r="N80" s="25">
        <f>+'Gross receipts from VOC sales'!B82*0.2</f>
        <v>14000</v>
      </c>
      <c r="O80" s="25">
        <v>31.390803425774877</v>
      </c>
      <c r="P80" s="25"/>
      <c r="Q80" s="25">
        <f t="shared" si="10"/>
        <v>665389.28241580119</v>
      </c>
      <c r="R80" s="25">
        <f>+Q80/(Population!AN81*Population!X81)</f>
        <v>70.440573119240511</v>
      </c>
      <c r="S80" s="25"/>
      <c r="T80" s="78">
        <v>164.5187</v>
      </c>
      <c r="U80" s="76">
        <v>100</v>
      </c>
      <c r="V80" s="25">
        <f t="shared" si="11"/>
        <v>117436.7077527598</v>
      </c>
      <c r="W80" s="25">
        <f>+('Livestock in possession'!I83-'Livestock in possession'!I78)/5</f>
        <v>5888.4327379580409</v>
      </c>
      <c r="X80" s="25">
        <f>+('Livestock in possession'!J83-'Livestock in possession'!J78)/5</f>
        <v>-12706.531259282958</v>
      </c>
      <c r="Y80" s="25">
        <f>+('Livestock in possession'!B83-'Livestock in possession'!B78)*'Livestock in possession'!F80/5</f>
        <v>442.38622296920164</v>
      </c>
      <c r="Z80" s="25">
        <f>+('Agricultural production'!H84-'Agricultural production'!H79+'Agricultural production'!J84-'Agricultural production'!J79+'Agricultural production'!L84-'Agricultural production'!L79)*'Agricultural production'!W81*2*'Agricultural production'!AE81/5</f>
        <v>-21444.846942148761</v>
      </c>
      <c r="AA80" s="25">
        <f>+('Agricultural production'!B84-'Agricultural production'!B79)/5</f>
        <v>-119870</v>
      </c>
      <c r="AB80" s="25">
        <v>-28121.985779587732</v>
      </c>
      <c r="AC80" s="25">
        <f>+W80*'Agricultural production'!Z79*300*1.5+46*'Agricultural production'!Z79*resteconomy!X80+resteconomy!Y80*100</f>
        <v>107057.99041077412</v>
      </c>
      <c r="AD80" s="25">
        <f t="shared" si="13"/>
        <v>57.491157689037621</v>
      </c>
      <c r="AE80" s="25">
        <f>+(AD80)+'Agricultural production'!AJ81</f>
        <v>1380.1626515226021</v>
      </c>
    </row>
    <row r="81" spans="1:31" ht="15" x14ac:dyDescent="0.25">
      <c r="A81">
        <f t="shared" si="12"/>
        <v>1779</v>
      </c>
      <c r="B81" s="24">
        <f>+Population!AN82</f>
        <v>0.3030336048044176</v>
      </c>
      <c r="C81" s="25">
        <f>+Population!X82*Population!Z82*resteconomy!B81</f>
        <v>6687.2227278434648</v>
      </c>
      <c r="D81" s="25">
        <v>164.16633894620009</v>
      </c>
      <c r="E81" s="25">
        <f t="shared" si="7"/>
        <v>414028.8793754194</v>
      </c>
      <c r="F81" s="50">
        <v>60</v>
      </c>
      <c r="G81" s="25">
        <f t="shared" si="8"/>
        <v>74089.933371519102</v>
      </c>
      <c r="H81" s="25">
        <f>+('Livestock in possession'!R81+'Livestock in possession'!T81/2)*'Agricultural production'!Z82*0.1</f>
        <v>8557.0495977571481</v>
      </c>
      <c r="I81" s="25">
        <f>+'Agricultural production'!Q82*'Agricultural production'!AE82*0.2</f>
        <v>65532.883773761954</v>
      </c>
      <c r="K81" s="25">
        <f>+O81*'Agricultural production'!C82</f>
        <v>155904.67200000002</v>
      </c>
      <c r="M81" s="25">
        <f t="shared" si="9"/>
        <v>7979.1569499999996</v>
      </c>
      <c r="N81" s="25">
        <f>+'Gross receipts from VOC sales'!B83*0.2</f>
        <v>14000</v>
      </c>
      <c r="O81" s="25">
        <v>30.261000000000003</v>
      </c>
      <c r="P81" s="25"/>
      <c r="Q81" s="25">
        <f t="shared" si="10"/>
        <v>666002.64169693855</v>
      </c>
      <c r="R81" s="25">
        <f>+Q81/(Population!AN82*Population!X82)</f>
        <v>69.581656340345006</v>
      </c>
      <c r="S81" s="25"/>
      <c r="T81" s="78">
        <v>164.5187</v>
      </c>
      <c r="U81" s="76">
        <v>97</v>
      </c>
      <c r="V81" s="25">
        <f t="shared" si="11"/>
        <v>106416.63389462</v>
      </c>
      <c r="W81" s="25">
        <f>+('Livestock in possession'!I84-'Livestock in possession'!I79)/5</f>
        <v>-5406.0237258376728</v>
      </c>
      <c r="X81" s="25">
        <f>+('Livestock in possession'!J84-'Livestock in possession'!J79)/5</f>
        <v>-52934.294401271989</v>
      </c>
      <c r="Y81" s="25">
        <f>+('Livestock in possession'!B84-'Livestock in possession'!B79)*'Livestock in possession'!F81/5</f>
        <v>451.50243590990033</v>
      </c>
      <c r="Z81" s="25">
        <f>+('Agricultural production'!H85-'Agricultural production'!H80+'Agricultural production'!J85-'Agricultural production'!J80+'Agricultural production'!L85-'Agricultural production'!L80)*'Agricultural production'!W82*2*'Agricultural production'!AE82/5</f>
        <v>-5272.96</v>
      </c>
      <c r="AA81" s="25">
        <f>+('Agricultural production'!B85-'Agricultural production'!B80)/5</f>
        <v>-46580</v>
      </c>
      <c r="AB81" s="25">
        <v>-10932.526698263404</v>
      </c>
      <c r="AC81" s="25">
        <f>+W81*'Agricultural production'!Z80*300*1.5+46*'Agricultural production'!Z80*resteconomy!X81+resteconomy!Y81*100</f>
        <v>-102908.60640619288</v>
      </c>
      <c r="AD81" s="25">
        <f t="shared" si="13"/>
        <v>-119.11409310445629</v>
      </c>
      <c r="AE81" s="25">
        <f>+(AD81)+'Agricultural production'!AJ82</f>
        <v>1059.6869724990197</v>
      </c>
    </row>
    <row r="82" spans="1:31" ht="15" x14ac:dyDescent="0.25">
      <c r="A82">
        <f t="shared" si="12"/>
        <v>1780</v>
      </c>
      <c r="B82" s="24">
        <f>+Population!AN83</f>
        <v>0.30323596540796033</v>
      </c>
      <c r="C82" s="25">
        <f>+Population!X83*Population!Z83*resteconomy!B82</f>
        <v>6898.8515455612815</v>
      </c>
      <c r="D82" s="25">
        <v>56.46955688246635</v>
      </c>
      <c r="E82" s="25">
        <f t="shared" si="7"/>
        <v>391994.12678406562</v>
      </c>
      <c r="F82" s="50">
        <v>46</v>
      </c>
      <c r="G82" s="25">
        <f t="shared" si="8"/>
        <v>75465.702597411568</v>
      </c>
      <c r="H82" s="25">
        <f>+('Livestock in possession'!R82+'Livestock in possession'!T82/2)*'Agricultural production'!Z83*0.1</f>
        <v>8530.822735180971</v>
      </c>
      <c r="I82" s="25">
        <f>+'Agricultural production'!Q83*'Agricultural production'!AE83*0.2</f>
        <v>66934.879862230591</v>
      </c>
      <c r="K82" s="25">
        <f>+O82*'Agricultural production'!C83</f>
        <v>166022.10866834171</v>
      </c>
      <c r="M82" s="25">
        <f t="shared" si="9"/>
        <v>6333.9699499999997</v>
      </c>
      <c r="N82" s="25">
        <f>+'Gross receipts from VOC sales'!B84*0.2</f>
        <v>14000</v>
      </c>
      <c r="O82" s="25">
        <v>32.720163316582912</v>
      </c>
      <c r="P82" s="25"/>
      <c r="Q82" s="25">
        <f t="shared" si="10"/>
        <v>653815.90799981891</v>
      </c>
      <c r="R82" s="25">
        <f>+Q82/(Population!AN83*Population!X83)</f>
        <v>66.672523556069848</v>
      </c>
      <c r="S82" s="25"/>
      <c r="T82" s="78">
        <v>164.5187</v>
      </c>
      <c r="U82" s="76">
        <v>77</v>
      </c>
      <c r="V82" s="25">
        <f t="shared" si="11"/>
        <v>74646.955688246642</v>
      </c>
      <c r="W82" s="25">
        <f>+('Livestock in possession'!I85-'Livestock in possession'!I80)/5</f>
        <v>507.76559620028127</v>
      </c>
      <c r="X82" s="25">
        <f>+('Livestock in possession'!J85-'Livestock in possession'!J80)/5</f>
        <v>-35223.414141442277</v>
      </c>
      <c r="Y82" s="25">
        <f>+('Livestock in possession'!B85-'Livestock in possession'!B80)*'Livestock in possession'!F82/5</f>
        <v>460.80650582729794</v>
      </c>
      <c r="Z82" s="25">
        <f>+('Agricultural production'!H86-'Agricultural production'!H81+'Agricultural production'!J86-'Agricultural production'!J81+'Agricultural production'!L86-'Agricultural production'!L81)*'Agricultural production'!W83*2*'Agricultural production'!AE83/5</f>
        <v>-2020.48</v>
      </c>
      <c r="AA82" s="25">
        <f>+('Agricultural production'!B86-'Agricultural production'!B81)/5</f>
        <v>50280</v>
      </c>
      <c r="AB82" s="25">
        <v>12283.262565221463</v>
      </c>
      <c r="AC82" s="25">
        <f>+W82*'Agricultural production'!Z81*300*1.5+46*'Agricultural production'!Z81*resteconomy!X82+resteconomy!Y82*100</f>
        <v>3747.265227819822</v>
      </c>
      <c r="AD82" s="25">
        <f t="shared" si="13"/>
        <v>14.010047793041286</v>
      </c>
      <c r="AE82" s="25">
        <f>+(AD82)+'Agricultural production'!AJ83</f>
        <v>1321.8133703346518</v>
      </c>
    </row>
    <row r="83" spans="1:31" ht="15" x14ac:dyDescent="0.25">
      <c r="A83">
        <f t="shared" si="12"/>
        <v>1781</v>
      </c>
      <c r="B83" s="24">
        <f>+Population!AN84</f>
        <v>0.2963085032431616</v>
      </c>
      <c r="C83" s="25">
        <f>+Population!X84*Population!Z84*resteconomy!B83</f>
        <v>6731.0498419721962</v>
      </c>
      <c r="D83" s="25">
        <v>98.710895309586704</v>
      </c>
      <c r="E83" s="25">
        <f t="shared" si="7"/>
        <v>404999.38226167968</v>
      </c>
      <c r="F83" s="50">
        <v>57</v>
      </c>
      <c r="G83" s="25">
        <f t="shared" si="8"/>
        <v>74768.962056657998</v>
      </c>
      <c r="H83" s="25">
        <f>+('Livestock in possession'!R83+'Livestock in possession'!T83/2)*'Agricultural production'!Z84*0.1</f>
        <v>8072.631219337396</v>
      </c>
      <c r="I83" s="25">
        <f>+'Agricultural production'!Q84*'Agricultural production'!AE84*0.2</f>
        <v>66696.330837320609</v>
      </c>
      <c r="K83" s="25">
        <f>+(K82+K84)/2</f>
        <v>126952.91147702798</v>
      </c>
      <c r="M83" s="25">
        <f t="shared" si="9"/>
        <v>5017.82035</v>
      </c>
      <c r="N83" s="25">
        <f>+'Gross receipts from VOC sales'!B85*0.2</f>
        <v>14000</v>
      </c>
      <c r="O83" s="25">
        <v>31.597474093264253</v>
      </c>
      <c r="P83" s="25"/>
      <c r="Q83" s="25">
        <f t="shared" si="10"/>
        <v>625739.07614536572</v>
      </c>
      <c r="R83" s="25">
        <f>+Q83/(Population!AN84*Population!X84)</f>
        <v>65.715406919503252</v>
      </c>
      <c r="S83" s="25"/>
      <c r="T83" s="78">
        <v>164.5187</v>
      </c>
      <c r="U83" s="76">
        <v>61</v>
      </c>
      <c r="V83" s="25">
        <f t="shared" si="11"/>
        <v>95371.089530958678</v>
      </c>
      <c r="W83" s="25">
        <f>+('Livestock in possession'!I86-'Livestock in possession'!I81)/5</f>
        <v>-22005.711493753399</v>
      </c>
      <c r="X83" s="25">
        <f>+('Livestock in possession'!J86-'Livestock in possession'!J81)/5</f>
        <v>-37296.106917608573</v>
      </c>
      <c r="Y83" s="25">
        <f>+('Livestock in possession'!B86-'Livestock in possession'!B81)*'Livestock in possession'!F83/5</f>
        <v>470.30230387314549</v>
      </c>
      <c r="Z83" s="25">
        <f>+('Agricultural production'!H87-'Agricultural production'!H82+'Agricultural production'!J87-'Agricultural production'!J82+'Agricultural production'!L87-'Agricultural production'!L82)*'Agricultural production'!W84*2*'Agricultural production'!AE84/5</f>
        <v>-7102.8823668639061</v>
      </c>
      <c r="AA83" s="25">
        <f>+('Agricultural production'!B87-'Agricultural production'!B82)/5</f>
        <v>39000</v>
      </c>
      <c r="AB83" s="25">
        <v>9477.0002786522873</v>
      </c>
      <c r="AC83" s="25">
        <f>+W83*'Agricultural production'!Z82*300*1.5+46*'Agricultural production'!Z82*resteconomy!X83+resteconomy!Y83*100</f>
        <v>-210229.71518580674</v>
      </c>
      <c r="AD83" s="25">
        <f t="shared" si="13"/>
        <v>-207.85559727401832</v>
      </c>
      <c r="AE83" s="25">
        <f>+(AD83)+'Agricultural production'!AJ84</f>
        <v>517.46373944245227</v>
      </c>
    </row>
    <row r="84" spans="1:31" ht="15" x14ac:dyDescent="0.25">
      <c r="A84">
        <f t="shared" si="12"/>
        <v>1782</v>
      </c>
      <c r="B84" s="24">
        <f>+Population!AN85</f>
        <v>0.28315625871188455</v>
      </c>
      <c r="C84" s="25">
        <f>+Population!X85*Population!Z85*resteconomy!B84</f>
        <v>6734.0358441143835</v>
      </c>
      <c r="D84" s="25">
        <v>315.71092700560621</v>
      </c>
      <c r="E84" s="25">
        <f t="shared" si="7"/>
        <v>444836.74152982229</v>
      </c>
      <c r="F84" s="50">
        <v>69</v>
      </c>
      <c r="G84" s="25">
        <f t="shared" si="8"/>
        <v>77698.786353043135</v>
      </c>
      <c r="H84" s="25">
        <f>+('Livestock in possession'!R84+'Livestock in possession'!T84/2)*'Agricultural production'!Z85*0.1</f>
        <v>8734.5551360139998</v>
      </c>
      <c r="I84" s="25">
        <f>+'Agricultural production'!Q85*'Agricultural production'!AE85*0.2</f>
        <v>68964.231217029141</v>
      </c>
      <c r="K84" s="25">
        <f>+O84*'Agricultural production'!C85</f>
        <v>87883.714285714275</v>
      </c>
      <c r="M84" s="25">
        <f t="shared" si="9"/>
        <v>5346.8577500000001</v>
      </c>
      <c r="N84" s="25">
        <f>+'Gross receipts from VOC sales'!B86*0.2</f>
        <v>14000</v>
      </c>
      <c r="O84" s="25">
        <v>30.642857142857139</v>
      </c>
      <c r="P84" s="25"/>
      <c r="Q84" s="25">
        <f t="shared" si="10"/>
        <v>629766.09991857968</v>
      </c>
      <c r="R84" s="25">
        <f>+Q84/(Population!AN85*Population!X85)</f>
        <v>67.07495310412898</v>
      </c>
      <c r="S84" s="25"/>
      <c r="T84" s="78">
        <v>164.5187</v>
      </c>
      <c r="U84" s="76">
        <v>65</v>
      </c>
      <c r="V84" s="25">
        <f t="shared" si="11"/>
        <v>135071.09270056064</v>
      </c>
      <c r="W84" s="25">
        <f>+('Livestock in possession'!I87-'Livestock in possession'!I82)/5</f>
        <v>723.2965608795464</v>
      </c>
      <c r="X84" s="25">
        <f>+('Livestock in possession'!J87-'Livestock in possession'!J82)/5</f>
        <v>-21346.693003084067</v>
      </c>
      <c r="Y84" s="25">
        <f>+('Livestock in possession'!B87-'Livestock in possession'!B82)*'Livestock in possession'!F84/5</f>
        <v>479.99378097167016</v>
      </c>
      <c r="Z84" s="25">
        <f>+('Agricultural production'!H88-'Agricultural production'!H83+'Agricultural production'!J88-'Agricultural production'!J83+'Agricultural production'!L88-'Agricultural production'!L83)*'Agricultural production'!W85*2*'Agricultural production'!AE85/5</f>
        <v>-6025.834792899409</v>
      </c>
      <c r="AA84" s="25">
        <f>+('Agricultural production'!B88-'Agricultural production'!B83)/5</f>
        <v>131180</v>
      </c>
      <c r="AB84" s="25">
        <v>31648.456160001107</v>
      </c>
      <c r="AC84" s="25">
        <f>+W84*'Agricultural production'!Z83*300*1.5+46*'Agricultural production'!Z83*resteconomy!X84+resteconomy!Y84*100</f>
        <v>33463.380098504007</v>
      </c>
      <c r="AD84" s="25">
        <f t="shared" si="13"/>
        <v>59.086001465605705</v>
      </c>
      <c r="AE84" s="25">
        <f>+(AD84)+'Agricultural production'!AJ85</f>
        <v>1132.8347142199586</v>
      </c>
    </row>
    <row r="85" spans="1:31" ht="15" x14ac:dyDescent="0.25">
      <c r="A85">
        <f t="shared" si="12"/>
        <v>1783</v>
      </c>
      <c r="B85" s="24">
        <f>+Population!AN86</f>
        <v>0.3001102408710975</v>
      </c>
      <c r="C85" s="25">
        <f>+Population!X86*Population!Z86*resteconomy!B85</f>
        <v>7409.1200334396071</v>
      </c>
      <c r="D85" s="25">
        <v>249.46401017595781</v>
      </c>
      <c r="E85" s="25">
        <f t="shared" si="7"/>
        <v>458765.9225558177</v>
      </c>
      <c r="F85" s="50">
        <v>62</v>
      </c>
      <c r="G85" s="25">
        <f t="shared" si="8"/>
        <v>82376.792578064982</v>
      </c>
      <c r="H85" s="25">
        <f>+('Livestock in possession'!R85+'Livestock in possession'!T85/2)*'Agricultural production'!Z86*0.1</f>
        <v>10820.550288229972</v>
      </c>
      <c r="I85" s="25">
        <f>+'Agricultural production'!Q86*'Agricultural production'!AE86*0.2</f>
        <v>71556.242289835005</v>
      </c>
      <c r="K85" s="25">
        <f>+O85*'Agricultural production'!C86</f>
        <v>112995.45047169809</v>
      </c>
      <c r="M85" s="25">
        <f t="shared" si="9"/>
        <v>7485.6008499999998</v>
      </c>
      <c r="N85" s="25">
        <f>+'Gross receipts from VOC sales'!B87*0.2</f>
        <v>14000</v>
      </c>
      <c r="O85" s="25">
        <v>34.816037735849051</v>
      </c>
      <c r="P85" s="25"/>
      <c r="Q85" s="25">
        <f t="shared" si="10"/>
        <v>675623.76645558083</v>
      </c>
      <c r="R85" s="25">
        <f>+Q85/(Population!AN86*Population!X86)</f>
        <v>64.685107115594676</v>
      </c>
      <c r="S85" s="25"/>
      <c r="T85" s="78">
        <v>164.5187</v>
      </c>
      <c r="U85" s="76">
        <v>91</v>
      </c>
      <c r="V85" s="25">
        <f t="shared" si="11"/>
        <v>117946.40101759578</v>
      </c>
      <c r="W85" s="25">
        <f>+('Livestock in possession'!I88-'Livestock in possession'!I83)/5</f>
        <v>2545.1671270213728</v>
      </c>
      <c r="X85" s="25">
        <f>+('Livestock in possession'!J88-'Livestock in possession'!J83)/5</f>
        <v>2699.9833544303197</v>
      </c>
      <c r="Y85" s="25">
        <f>+('Livestock in possession'!B88-'Livestock in possession'!B83)*'Livestock in possession'!F85/5</f>
        <v>489.88496946343622</v>
      </c>
      <c r="Z85" s="25">
        <f>+('Agricultural production'!H89-'Agricultural production'!H84+'Agricultural production'!J89-'Agricultural production'!J84+'Agricultural production'!L89-'Agricultural production'!L84)*'Agricultural production'!W86*2*'Agricultural production'!AE86/5</f>
        <v>16107.52</v>
      </c>
      <c r="AA85" s="25">
        <f>+('Agricultural production'!B89-'Agricultural production'!B84)/5</f>
        <v>211230</v>
      </c>
      <c r="AB85" s="25">
        <v>49901.492063591497</v>
      </c>
      <c r="AC85" s="25">
        <f>+W85*'Agricultural production'!Z84*300*1.5+46*'Agricultural production'!Z84*resteconomy!X85+resteconomy!Y85*100</f>
        <v>77099.395293033478</v>
      </c>
      <c r="AD85" s="25">
        <f t="shared" si="13"/>
        <v>143.10840735662495</v>
      </c>
      <c r="AE85" s="25">
        <f>+(AD85)+'Agricultural production'!AJ86</f>
        <v>1481.4149139835779</v>
      </c>
    </row>
    <row r="86" spans="1:31" ht="15" x14ac:dyDescent="0.25">
      <c r="A86">
        <f t="shared" si="12"/>
        <v>1784</v>
      </c>
      <c r="B86" s="24">
        <f>+Population!AN87</f>
        <v>0.30224068832812684</v>
      </c>
      <c r="C86" s="25">
        <f>+Population!X87*Population!Z87*resteconomy!B86</f>
        <v>7568.0890666541427</v>
      </c>
      <c r="D86" s="25">
        <v>71.133476326373966</v>
      </c>
      <c r="E86" s="25">
        <f t="shared" si="7"/>
        <v>355245.44469872804</v>
      </c>
      <c r="F86" s="50">
        <v>0</v>
      </c>
      <c r="G86" s="25">
        <f t="shared" si="8"/>
        <v>87006.361908875639</v>
      </c>
      <c r="H86" s="25">
        <f>+('Livestock in possession'!R86+'Livestock in possession'!T86/2)*'Agricultural production'!Z87*0.1</f>
        <v>14480.528507579122</v>
      </c>
      <c r="I86" s="25">
        <f>+'Agricultural production'!Q87*'Agricultural production'!AE87*0.2</f>
        <v>72525.833401296521</v>
      </c>
      <c r="K86" s="25">
        <f>+O86*'Agricultural production'!C87</f>
        <v>134083.7485465116</v>
      </c>
      <c r="M86" s="25">
        <f t="shared" si="9"/>
        <v>6087.1918999999998</v>
      </c>
      <c r="N86" s="25">
        <f>+'Gross receipts from VOC sales'!B88*0.2</f>
        <v>14000</v>
      </c>
      <c r="O86" s="25">
        <v>30.050145348837205</v>
      </c>
      <c r="P86" s="25"/>
      <c r="Q86" s="25">
        <f t="shared" si="10"/>
        <v>596422.74705411529</v>
      </c>
      <c r="R86" s="25">
        <f>+Q86/(Population!AN87*Population!X87)</f>
        <v>55.789735301452559</v>
      </c>
      <c r="S86" s="25"/>
      <c r="T86" s="78">
        <v>164.5187</v>
      </c>
      <c r="U86" s="76">
        <v>74</v>
      </c>
      <c r="V86" s="25">
        <f t="shared" si="11"/>
        <v>7113.3476326374221</v>
      </c>
      <c r="W86" s="25">
        <f>+('Livestock in possession'!I89-'Livestock in possession'!I84)/5</f>
        <v>17285.583367277395</v>
      </c>
      <c r="X86" s="25">
        <f>+('Livestock in possession'!J89-'Livestock in possession'!J84)/5</f>
        <v>72572.735941011531</v>
      </c>
      <c r="Y86" s="25">
        <f>+('Livestock in possession'!B89-'Livestock in possession'!B84)*'Livestock in possession'!F86/5</f>
        <v>499.97998478308699</v>
      </c>
      <c r="Z86" s="25">
        <f>+('Agricultural production'!H90-'Agricultural production'!H85+'Agricultural production'!J90-'Agricultural production'!J85+'Agricultural production'!L90-'Agricultural production'!L85)*'Agricultural production'!W87*2*'Agricultural production'!AE87/5</f>
        <v>7279.3600000000006</v>
      </c>
      <c r="AA86" s="25">
        <f>+('Agricultural production'!B90-'Agricultural production'!B85)/5</f>
        <v>271580</v>
      </c>
      <c r="AB86" s="25">
        <v>73325.015832475488</v>
      </c>
      <c r="AC86" s="25">
        <f>+W86*'Agricultural production'!Z85*300*1.5+46*'Agricultural production'!Z85*resteconomy!X86+resteconomy!Y86*100</f>
        <v>296157.00521073875</v>
      </c>
      <c r="AD86" s="25">
        <f t="shared" si="13"/>
        <v>376.76138104321421</v>
      </c>
      <c r="AE86" s="25">
        <f>+(AD86)+'Agricultural production'!AJ87</f>
        <v>1958.1719094479135</v>
      </c>
    </row>
    <row r="87" spans="1:31" ht="15" x14ac:dyDescent="0.25">
      <c r="A87">
        <f t="shared" si="12"/>
        <v>1785</v>
      </c>
      <c r="B87" s="24">
        <f>+Population!AN88</f>
        <v>0.28898614442317749</v>
      </c>
      <c r="C87" s="25">
        <f>+Population!X88*Population!Z88*resteconomy!B87</f>
        <v>7602.295645000182</v>
      </c>
      <c r="D87" s="25">
        <v>487.01118845792007</v>
      </c>
      <c r="E87" s="25">
        <f t="shared" si="7"/>
        <v>410406.71851580043</v>
      </c>
      <c r="F87" s="50">
        <v>8</v>
      </c>
      <c r="G87" s="25">
        <f t="shared" si="8"/>
        <v>88692.81376713232</v>
      </c>
      <c r="H87" s="25">
        <f>+('Livestock in possession'!R87+'Livestock in possession'!T87/2)*'Agricultural production'!Z88*0.1</f>
        <v>14800.052335397959</v>
      </c>
      <c r="I87" s="25">
        <f>+'Agricultural production'!Q88*'Agricultural production'!AE88*0.2</f>
        <v>73892.761431734354</v>
      </c>
      <c r="K87" s="25">
        <f>+O87*'Agricultural production'!C88</f>
        <v>147905.11271367519</v>
      </c>
      <c r="M87" s="25">
        <f t="shared" si="9"/>
        <v>6992.04475</v>
      </c>
      <c r="N87" s="25">
        <f>+'Gross receipts from VOC sales'!B89*0.2</f>
        <v>14000</v>
      </c>
      <c r="O87" s="25">
        <v>30.314636752136749</v>
      </c>
      <c r="P87" s="25"/>
      <c r="Q87" s="25">
        <f t="shared" si="10"/>
        <v>667996.68974660791</v>
      </c>
      <c r="R87" s="25">
        <f>+Q87/(Population!AN88*Population!X88)</f>
        <v>64.579312542943399</v>
      </c>
      <c r="S87" s="25"/>
      <c r="T87" s="78">
        <v>164.5187</v>
      </c>
      <c r="U87" s="76">
        <v>85</v>
      </c>
      <c r="V87" s="25">
        <f t="shared" si="11"/>
        <v>60701.118845792022</v>
      </c>
      <c r="W87" s="25">
        <f>+('Livestock in possession'!I90-'Livestock in possession'!I85)/5</f>
        <v>11511.255257678975</v>
      </c>
      <c r="X87" s="25">
        <f>+('Livestock in possession'!J90-'Livestock in possession'!J85)/5</f>
        <v>72379.227279336279</v>
      </c>
      <c r="Y87" s="25">
        <f>+('Livestock in possession'!B90-'Livestock in possession'!B85)*'Livestock in possession'!F87/5</f>
        <v>510.28302717165514</v>
      </c>
      <c r="Z87" s="25">
        <f>+('Agricultural production'!H91-'Agricultural production'!H86+'Agricultural production'!J91-'Agricultural production'!J86+'Agricultural production'!L91-'Agricultural production'!L86)*'Agricultural production'!W88*2*'Agricultural production'!AE88/5</f>
        <v>6244.4800000000005</v>
      </c>
      <c r="AA87" s="25">
        <f>+('Agricultural production'!B91-'Agricultural production'!B86)/5</f>
        <v>328000</v>
      </c>
      <c r="AB87" s="25">
        <v>92137.110236401262</v>
      </c>
      <c r="AC87" s="25">
        <f>+W87*'Agricultural production'!Z86*300*1.5+46*'Agricultural production'!Z86*resteconomy!X87+resteconomy!Y87*100</f>
        <v>239453.15196356212</v>
      </c>
      <c r="AD87" s="25">
        <f t="shared" si="13"/>
        <v>337.83474219996339</v>
      </c>
      <c r="AE87" s="25">
        <f>+(AD87)+'Agricultural production'!AJ88</f>
        <v>1919.3911306803109</v>
      </c>
    </row>
    <row r="88" spans="1:31" ht="15" x14ac:dyDescent="0.25">
      <c r="A88">
        <f t="shared" si="12"/>
        <v>1786</v>
      </c>
      <c r="B88" s="24">
        <f>+Population!AN89</f>
        <v>0.29251491747947372</v>
      </c>
      <c r="C88" s="25">
        <f>+Population!X89*Population!Z89*resteconomy!B88</f>
        <v>8199.5614184481565</v>
      </c>
      <c r="D88" s="25">
        <v>811.75370323590687</v>
      </c>
      <c r="E88" s="25">
        <f t="shared" si="7"/>
        <v>485355.19557220594</v>
      </c>
      <c r="F88" s="50">
        <v>18</v>
      </c>
      <c r="G88" s="25">
        <f t="shared" si="8"/>
        <v>134201.36567848973</v>
      </c>
      <c r="H88" s="25">
        <f>+('Livestock in possession'!R88+'Livestock in possession'!T88/2)*'Agricultural production'!Z89*0.1</f>
        <v>14140.806844518233</v>
      </c>
      <c r="I88" s="25">
        <f>+'Agricultural production'!Q89*'Agricultural production'!AE89*0.2</f>
        <v>120060.55883397149</v>
      </c>
      <c r="K88" s="25">
        <f>+O88*'Agricultural production'!C89</f>
        <v>161126.20075158228</v>
      </c>
      <c r="M88" s="25">
        <f t="shared" si="9"/>
        <v>6416.2293</v>
      </c>
      <c r="N88" s="25">
        <f>+'Gross receipts from VOC sales'!B90*0.2</f>
        <v>14000</v>
      </c>
      <c r="O88" s="25">
        <v>29.194818037974684</v>
      </c>
      <c r="P88" s="25"/>
      <c r="Q88" s="25">
        <f t="shared" si="10"/>
        <v>801098.99130227789</v>
      </c>
      <c r="R88" s="25">
        <f>+Q88/(Population!AN89*Population!X89)</f>
        <v>69.501822508838103</v>
      </c>
      <c r="S88" s="25"/>
      <c r="T88" s="78">
        <v>164.5187</v>
      </c>
      <c r="U88" s="76">
        <v>78</v>
      </c>
      <c r="V88" s="25">
        <f t="shared" si="11"/>
        <v>108175.3703235907</v>
      </c>
      <c r="W88" s="25">
        <f>+('Livestock in possession'!I91-'Livestock in possession'!I86)/5</f>
        <v>11165.771799590148</v>
      </c>
      <c r="X88" s="25">
        <f>+('Livestock in possession'!J91-'Livestock in possession'!J86)/5</f>
        <v>66183.187437305925</v>
      </c>
      <c r="Y88" s="25">
        <f>+('Livestock in possession'!B91-'Livestock in possession'!B86)*'Livestock in possession'!F88/5</f>
        <v>520.79838342415985</v>
      </c>
      <c r="Z88" s="25">
        <f>+('Agricultural production'!H92-'Agricultural production'!H87+'Agricultural production'!J92-'Agricultural production'!J87+'Agricultural production'!L92-'Agricultural production'!L87)*'Agricultural production'!W89*2*'Agricultural production'!AE89/5</f>
        <v>10792.320000000002</v>
      </c>
      <c r="AA88" s="25">
        <f>+('Agricultural production'!B92-'Agricultural production'!B87)/5</f>
        <v>219400</v>
      </c>
      <c r="AB88" s="25">
        <v>61731.732677397238</v>
      </c>
      <c r="AC88" s="25">
        <f>+W88*'Agricultural production'!Z87*300*1.5+46*'Agricultural production'!Z87*resteconomy!X88+resteconomy!Y88*100</f>
        <v>291989.21060431201</v>
      </c>
      <c r="AD88" s="25">
        <f t="shared" si="13"/>
        <v>364.51326328170927</v>
      </c>
      <c r="AE88" s="25">
        <f>+(AD88)+'Agricultural production'!AJ89</f>
        <v>2089.2994561950595</v>
      </c>
    </row>
    <row r="89" spans="1:31" ht="15" x14ac:dyDescent="0.25">
      <c r="A89">
        <f t="shared" si="12"/>
        <v>1787</v>
      </c>
      <c r="B89" s="24">
        <f>+Population!AN90</f>
        <v>0.2748429275259609</v>
      </c>
      <c r="C89" s="25">
        <f>+Population!X90*Population!Z90*resteconomy!B89</f>
        <v>7917.1120233329648</v>
      </c>
      <c r="D89" s="25">
        <v>257.03795360599634</v>
      </c>
      <c r="E89" s="25">
        <f t="shared" si="7"/>
        <v>404890.94843391603</v>
      </c>
      <c r="F89" s="50">
        <v>10</v>
      </c>
      <c r="G89" s="25">
        <f t="shared" si="8"/>
        <v>121140.96398260789</v>
      </c>
      <c r="H89" s="25">
        <f>+('Livestock in possession'!R89+'Livestock in possession'!T89/2)*'Agricultural production'!Z90*0.1</f>
        <v>15435.777311378512</v>
      </c>
      <c r="I89" s="25">
        <f>+'Agricultural production'!Q90*'Agricultural production'!AE90*0.2</f>
        <v>105705.18667122938</v>
      </c>
      <c r="K89" s="25">
        <f>+O89*'Agricultural production'!C90</f>
        <v>266248.76707089553</v>
      </c>
      <c r="M89" s="25">
        <f t="shared" si="9"/>
        <v>11516.308999999999</v>
      </c>
      <c r="N89" s="25">
        <f>+'Gross receipts from VOC sales'!B91*0.2</f>
        <v>14000</v>
      </c>
      <c r="O89" s="25">
        <v>30.006623134328358</v>
      </c>
      <c r="P89" s="25"/>
      <c r="Q89" s="25">
        <f t="shared" si="10"/>
        <v>817796.98848741944</v>
      </c>
      <c r="R89" s="25">
        <f>+Q89/(Population!AN90*Population!X90)</f>
        <v>72.179069013026492</v>
      </c>
      <c r="S89" s="25"/>
      <c r="T89" s="78">
        <v>164.5187</v>
      </c>
      <c r="U89" s="76">
        <v>140</v>
      </c>
      <c r="V89" s="25">
        <f t="shared" si="11"/>
        <v>40703.795360599644</v>
      </c>
      <c r="W89" s="25">
        <f>+('Livestock in possession'!I92-'Livestock in possession'!I87)/5</f>
        <v>11848.497825941839</v>
      </c>
      <c r="X89" s="25">
        <f>+('Livestock in possession'!J92-'Livestock in possession'!J87)/5</f>
        <v>81367.704614152826</v>
      </c>
      <c r="Y89" s="25">
        <f>+('Livestock in possession'!B92-'Livestock in possession'!B87)*'Livestock in possession'!F89/5</f>
        <v>531.53042867322051</v>
      </c>
      <c r="Z89" s="25">
        <f>+('Agricultural production'!H93-'Agricultural production'!H88+'Agricultural production'!J93-'Agricultural production'!J88+'Agricultural production'!L93-'Agricultural production'!L88)*'Agricultural production'!W90*2*'Agricultural production'!AE90/5</f>
        <v>7790.0823529411773</v>
      </c>
      <c r="AA89" s="25">
        <f>+('Agricultural production'!B93-'Agricultural production'!B88)/5</f>
        <v>252500</v>
      </c>
      <c r="AB89" s="25">
        <v>71591.956571493138</v>
      </c>
      <c r="AC89" s="25">
        <f>+W89*'Agricultural production'!Z88*300*1.5+46*'Agricultural production'!Z88*resteconomy!X89+resteconomy!Y89*100</f>
        <v>322964.46237598074</v>
      </c>
      <c r="AD89" s="25">
        <f t="shared" si="13"/>
        <v>402.34650130041501</v>
      </c>
      <c r="AE89" s="25">
        <f>+(AD89)+'Agricultural production'!AJ90</f>
        <v>2550.3184827528262</v>
      </c>
    </row>
    <row r="90" spans="1:31" ht="15" x14ac:dyDescent="0.25">
      <c r="A90">
        <f t="shared" si="12"/>
        <v>1788</v>
      </c>
      <c r="B90" s="24">
        <f>+Population!AN91</f>
        <v>0.26071741902182205</v>
      </c>
      <c r="C90" s="25">
        <f>+Population!X91*Population!Z91*resteconomy!B90</f>
        <v>7614.5192219990031</v>
      </c>
      <c r="D90" s="25">
        <v>89.250694877950991</v>
      </c>
      <c r="E90" s="25">
        <f t="shared" si="7"/>
        <v>366692.95369974925</v>
      </c>
      <c r="F90" s="50">
        <v>5</v>
      </c>
      <c r="G90" s="25">
        <f t="shared" si="8"/>
        <v>99737.623646907217</v>
      </c>
      <c r="H90" s="25">
        <f>+('Livestock in possession'!R90+'Livestock in possession'!T90/2)*'Agricultural production'!Z91*0.1</f>
        <v>15625.520944606891</v>
      </c>
      <c r="I90" s="25">
        <f>+'Agricultural production'!Q91*'Agricultural production'!AE91*0.2</f>
        <v>84112.102702300326</v>
      </c>
      <c r="K90" s="25">
        <f>+O90*'Agricultural production'!C91</f>
        <v>214172.37881320517</v>
      </c>
      <c r="M90" s="25">
        <f t="shared" si="9"/>
        <v>5675.8951500000003</v>
      </c>
      <c r="N90" s="25">
        <f>+'Gross receipts from VOC sales'!B92*0.2</f>
        <v>14000</v>
      </c>
      <c r="O90" s="25">
        <v>29.804116172168825</v>
      </c>
      <c r="P90" s="25"/>
      <c r="Q90" s="25">
        <f t="shared" si="10"/>
        <v>700278.85130986152</v>
      </c>
      <c r="R90" s="25">
        <f>+Q90/(Population!AN91*Population!X91)</f>
        <v>65.660775307576714</v>
      </c>
      <c r="S90" s="25"/>
      <c r="T90" s="78">
        <v>164.5187</v>
      </c>
      <c r="U90" s="76">
        <v>69</v>
      </c>
      <c r="V90" s="25">
        <f t="shared" si="11"/>
        <v>16425.069487795117</v>
      </c>
      <c r="W90" s="25">
        <f>+('Livestock in possession'!I93-'Livestock in possession'!I88)/5</f>
        <v>12379.084347814036</v>
      </c>
      <c r="X90" s="25">
        <f>+('Livestock in possession'!J93-'Livestock in possession'!J88)/5</f>
        <v>71300.416490496573</v>
      </c>
      <c r="Y90" s="25">
        <f>+('Livestock in possession'!B93-'Livestock in possession'!B88)*'Livestock in possession'!F90/5</f>
        <v>542.48362820941622</v>
      </c>
      <c r="Z90" s="25">
        <f>+('Agricultural production'!H94-'Agricultural production'!H89+'Agricultural production'!J94-'Agricultural production'!J89+'Agricultural production'!L94-'Agricultural production'!L89)*'Agricultural production'!W91*2*'Agricultural production'!AE91/5</f>
        <v>7291.2705882352939</v>
      </c>
      <c r="AA90" s="25">
        <f>+('Agricultural production'!B94-'Agricultural production'!B89)/5</f>
        <v>276680</v>
      </c>
      <c r="AB90" s="25">
        <v>78239.695510780773</v>
      </c>
      <c r="AC90" s="25">
        <f>+W90*'Agricultural production'!Z89*300*1.5+46*'Agricultural production'!Z89*resteconomy!X90+resteconomy!Y90*100</f>
        <v>317389.93151034875</v>
      </c>
      <c r="AD90" s="25">
        <f t="shared" si="13"/>
        <v>402.92089760936483</v>
      </c>
      <c r="AE90" s="25">
        <f>+(AD90)+'Agricultural production'!AJ91</f>
        <v>2471.9879982955845</v>
      </c>
    </row>
    <row r="91" spans="1:31" ht="15" x14ac:dyDescent="0.25">
      <c r="A91">
        <f t="shared" si="12"/>
        <v>1789</v>
      </c>
      <c r="B91" s="24">
        <f>+Population!AN92</f>
        <v>0.2592913535101995</v>
      </c>
      <c r="C91" s="25">
        <f>+Population!X92*Population!Z92*resteconomy!B91</f>
        <v>7781.975181370166</v>
      </c>
      <c r="D91" s="25">
        <v>266.85420089867694</v>
      </c>
      <c r="E91" s="25">
        <f t="shared" si="7"/>
        <v>398156.27843289531</v>
      </c>
      <c r="F91" s="50">
        <v>9</v>
      </c>
      <c r="G91" s="25">
        <f t="shared" si="8"/>
        <v>113709.15900624718</v>
      </c>
      <c r="H91" s="25">
        <f>+('Livestock in possession'!R91+'Livestock in possession'!T91/2)*'Agricultural production'!Z92*0.1</f>
        <v>27398.135571422841</v>
      </c>
      <c r="I91" s="25">
        <f>+'Agricultural production'!Q92*'Agricultural production'!AE92*0.2</f>
        <v>86311.023434824339</v>
      </c>
      <c r="K91" s="25">
        <f>+O91*'Agricultural production'!C92</f>
        <v>153207.45301706623</v>
      </c>
      <c r="M91" s="25">
        <f t="shared" si="9"/>
        <v>9953.3813499999997</v>
      </c>
      <c r="N91" s="25">
        <f>+'Gross receipts from VOC sales'!B93*0.2</f>
        <v>14000</v>
      </c>
      <c r="O91" s="25">
        <v>30.218432547744818</v>
      </c>
      <c r="P91" s="25"/>
      <c r="Q91" s="25">
        <f t="shared" si="10"/>
        <v>689026.27180620877</v>
      </c>
      <c r="R91" s="25">
        <f>+Q91/(Population!AN92*Population!X92)</f>
        <v>62.793402200471995</v>
      </c>
      <c r="S91" s="25"/>
      <c r="T91" s="78">
        <v>164.5187</v>
      </c>
      <c r="U91" s="76">
        <v>121</v>
      </c>
      <c r="V91" s="25">
        <f t="shared" si="11"/>
        <v>40185.420089867665</v>
      </c>
      <c r="W91" s="25">
        <f>+('Livestock in possession'!I94-'Livestock in possession'!I89)/5</f>
        <v>95.087190299679065</v>
      </c>
      <c r="X91" s="25">
        <f>+('Livestock in possession'!J94-'Livestock in possession'!J89)/5</f>
        <v>28762.37493772884</v>
      </c>
      <c r="Y91" s="25">
        <f>+('Livestock in possession'!B94-'Livestock in possession'!B89)*'Livestock in possession'!F91/5</f>
        <v>553.6625393391688</v>
      </c>
      <c r="Z91" s="25">
        <f>+('Agricultural production'!H95-'Agricultural production'!H90+'Agricultural production'!J95-'Agricultural production'!J90+'Agricultural production'!L95-'Agricultural production'!L90)*'Agricultural production'!W92*2*'Agricultural production'!AE92/5</f>
        <v>-7355.4719999999998</v>
      </c>
      <c r="AA91" s="25">
        <f>+('Agricultural production'!B95-'Agricultural production'!B90)/5</f>
        <v>202000</v>
      </c>
      <c r="AB91" s="25">
        <v>56270.838451055053</v>
      </c>
      <c r="AC91" s="25">
        <f>+W91*'Agricultural production'!Z90*300*1.5+46*'Agricultural production'!Z90*resteconomy!X91+resteconomy!Y91*100</f>
        <v>95976.153466286283</v>
      </c>
      <c r="AD91" s="25">
        <f t="shared" si="13"/>
        <v>144.89151991734133</v>
      </c>
      <c r="AE91" s="25">
        <f>+(AD91)+'Agricultural production'!AJ92</f>
        <v>2003.8260710044628</v>
      </c>
    </row>
    <row r="92" spans="1:31" ht="15" x14ac:dyDescent="0.25">
      <c r="A92">
        <f t="shared" si="12"/>
        <v>1790</v>
      </c>
      <c r="B92" s="24">
        <f>+Population!AN93</f>
        <v>0.27392044766671148</v>
      </c>
      <c r="C92" s="25">
        <f>+Population!X93*Population!Z93*resteconomy!B92</f>
        <v>8468.3663352186559</v>
      </c>
      <c r="D92" s="25">
        <v>0</v>
      </c>
      <c r="E92" s="25">
        <f t="shared" si="7"/>
        <v>398544.85142005817</v>
      </c>
      <c r="F92" s="50">
        <v>6</v>
      </c>
      <c r="G92" s="25">
        <f t="shared" si="8"/>
        <v>113554.71922762768</v>
      </c>
      <c r="H92" s="25">
        <f>+('Livestock in possession'!R92+'Livestock in possession'!T92/2)*'Agricultural production'!Z93*0.1</f>
        <v>25516.361320057084</v>
      </c>
      <c r="I92" s="25">
        <f>+'Agricultural production'!Q93*'Agricultural production'!AE93*0.2</f>
        <v>88038.357907570593</v>
      </c>
      <c r="K92" s="25">
        <f>+O92*'Agricultural production'!C93</f>
        <v>177127.85106382979</v>
      </c>
      <c r="M92" s="25">
        <f t="shared" si="9"/>
        <v>11927.605749999999</v>
      </c>
      <c r="N92" s="25">
        <f>+'Gross receipts from VOC sales'!B94*0.2</f>
        <v>14000</v>
      </c>
      <c r="O92" s="25">
        <v>30.22659574468085</v>
      </c>
      <c r="P92" s="25"/>
      <c r="Q92" s="25">
        <f t="shared" si="10"/>
        <v>715155.02746151562</v>
      </c>
      <c r="R92" s="25">
        <f>+Q92/(Population!AN93*Population!X93)</f>
        <v>60.077324623908737</v>
      </c>
      <c r="S92" s="25"/>
      <c r="T92" s="78">
        <v>164.5187</v>
      </c>
      <c r="U92" s="76">
        <v>145</v>
      </c>
      <c r="V92" s="25">
        <f t="shared" si="11"/>
        <v>9000</v>
      </c>
      <c r="W92" s="25">
        <f>+('Livestock in possession'!I95-'Livestock in possession'!I90)/5</f>
        <v>753.72446177544771</v>
      </c>
      <c r="X92" s="25">
        <f>+('Livestock in possession'!J95-'Livestock in possession'!J90)/5</f>
        <v>15936.513337079436</v>
      </c>
      <c r="Y92" s="25">
        <f>+('Livestock in possession'!B95-'Livestock in possession'!B90)*'Livestock in possession'!F92/5</f>
        <v>565.07181328090087</v>
      </c>
      <c r="Z92" s="25">
        <f>+('Agricultural production'!H96-'Agricultural production'!H91+'Agricultural production'!J96-'Agricultural production'!J91+'Agricultural production'!L96-'Agricultural production'!L91)*'Agricultural production'!W93*2*'Agricultural production'!AE93/5</f>
        <v>8532.36</v>
      </c>
      <c r="AA92" s="25">
        <f>+('Agricultural production'!B96-'Agricultural production'!B91)/5</f>
        <v>73660</v>
      </c>
      <c r="AB92" s="25">
        <v>19477.063042612128</v>
      </c>
      <c r="AC92" s="25">
        <f>+W92*'Agricultural production'!Z91*300*1.5+46*'Agricultural production'!Z91*resteconomy!X92+resteconomy!Y92*100</f>
        <v>88387.638640093093</v>
      </c>
      <c r="AD92" s="25">
        <f t="shared" si="13"/>
        <v>116.39706168270523</v>
      </c>
      <c r="AE92" s="25">
        <f>+(AD92)+'Agricultural production'!AJ93</f>
        <v>2106.0095265692539</v>
      </c>
    </row>
    <row r="93" spans="1:31" ht="15" x14ac:dyDescent="0.25">
      <c r="A93">
        <f t="shared" si="12"/>
        <v>1791</v>
      </c>
      <c r="B93" s="24">
        <f>+Population!AN94</f>
        <v>0.28505855880451342</v>
      </c>
      <c r="C93" s="25">
        <f>+Population!X94*Population!Z94*resteconomy!B93</f>
        <v>8463.9754838206682</v>
      </c>
      <c r="D93" s="25">
        <v>0</v>
      </c>
      <c r="E93" s="25">
        <f t="shared" si="7"/>
        <v>392342.87225575076</v>
      </c>
      <c r="F93" s="50">
        <v>2</v>
      </c>
      <c r="G93" s="25">
        <f t="shared" si="8"/>
        <v>111052.21702507709</v>
      </c>
      <c r="H93" s="25">
        <f>+('Livestock in possession'!R93+'Livestock in possession'!T93/2)*'Agricultural production'!Z94*0.1</f>
        <v>26871.660923840998</v>
      </c>
      <c r="I93" s="25">
        <f>+'Agricultural production'!Q94*'Agricultural production'!AE94*0.2</f>
        <v>84180.556101236085</v>
      </c>
      <c r="K93" s="25">
        <f>+O93*'Agricultural production'!C94</f>
        <v>184054.40521564696</v>
      </c>
      <c r="M93" s="25">
        <f t="shared" si="9"/>
        <v>6663.0073499999999</v>
      </c>
      <c r="N93" s="25">
        <f>+'Gross receipts from VOC sales'!B95*0.2</f>
        <v>14000</v>
      </c>
      <c r="O93" s="25">
        <v>29.888665997993982</v>
      </c>
      <c r="P93" s="25"/>
      <c r="Q93" s="25">
        <f t="shared" si="10"/>
        <v>708112.50184647471</v>
      </c>
      <c r="R93" s="25">
        <f>+Q93/(Population!AN94*Population!X94)</f>
        <v>59.453984251765313</v>
      </c>
      <c r="S93" s="25"/>
      <c r="T93" s="78">
        <v>164.5187</v>
      </c>
      <c r="U93" s="76">
        <v>81</v>
      </c>
      <c r="V93" s="25">
        <f t="shared" si="11"/>
        <v>3000</v>
      </c>
      <c r="W93" s="25">
        <f>+('Livestock in possession'!I96-'Livestock in possession'!I91)/5</f>
        <v>-614.89716393791605</v>
      </c>
      <c r="X93" s="25">
        <f>+('Livestock in possession'!J96-'Livestock in possession'!J91)/5</f>
        <v>8307.9718745918944</v>
      </c>
      <c r="Y93" s="25">
        <f>+('Livestock in possession'!B96-'Livestock in possession'!B91)*'Livestock in possession'!F93/5</f>
        <v>576.71619710027301</v>
      </c>
      <c r="Z93" s="25">
        <f>+('Agricultural production'!H97-'Agricultural production'!H92+'Agricultural production'!J97-'Agricultural production'!J92+'Agricultural production'!L97-'Agricultural production'!L92)*'Agricultural production'!W94*2*'Agricultural production'!AE94/5</f>
        <v>-25150.072724999998</v>
      </c>
      <c r="AA93" s="25">
        <f>+('Agricultural production'!B97-'Agricultural production'!B92)/5</f>
        <v>170371</v>
      </c>
      <c r="AB93" s="25">
        <v>44698.186394876691</v>
      </c>
      <c r="AC93" s="25">
        <f>+W93*'Agricultural production'!Z92*300*1.5+46*'Agricultural production'!Z92*resteconomy!X93+resteconomy!Y93*100</f>
        <v>62944.768832985545</v>
      </c>
      <c r="AD93" s="25">
        <f t="shared" si="13"/>
        <v>82.49288250286223</v>
      </c>
      <c r="AE93" s="25">
        <f>+(AD93)+'Agricultural production'!AJ94</f>
        <v>2040.3634083592656</v>
      </c>
    </row>
    <row r="94" spans="1:31" ht="15" x14ac:dyDescent="0.25">
      <c r="A94">
        <f t="shared" si="12"/>
        <v>1792</v>
      </c>
      <c r="B94" s="24">
        <f>+Population!AN95</f>
        <v>0.31174852513938195</v>
      </c>
      <c r="C94" s="25">
        <f>+Population!X95*Population!Z95*resteconomy!B94</f>
        <v>9273.6585934344585</v>
      </c>
      <c r="D94" s="25">
        <v>455.7518569674321</v>
      </c>
      <c r="E94" s="25">
        <f t="shared" si="7"/>
        <v>472163.48099472834</v>
      </c>
      <c r="F94" s="50">
        <v>0</v>
      </c>
      <c r="G94" s="25">
        <f t="shared" si="8"/>
        <v>110375.57935919065</v>
      </c>
      <c r="H94" s="25">
        <f>+('Livestock in possession'!R94+'Livestock in possession'!T94/2)*'Agricultural production'!Z95*0.1</f>
        <v>25471.934300266206</v>
      </c>
      <c r="I94" s="25">
        <f>+'Agricultural production'!Q95*'Agricultural production'!AE95*0.2</f>
        <v>84903.645058924449</v>
      </c>
      <c r="K94" s="25">
        <f>+O94*'Agricultural production'!C95</f>
        <v>157068.686715288</v>
      </c>
      <c r="M94" s="25">
        <f t="shared" si="9"/>
        <v>1233.8902499999999</v>
      </c>
      <c r="N94" s="25">
        <f>+'Gross receipts from VOC sales'!B96*0.2</f>
        <v>14000</v>
      </c>
      <c r="O94" s="25">
        <v>29.866645125553909</v>
      </c>
      <c r="P94" s="25"/>
      <c r="Q94" s="25">
        <f t="shared" si="10"/>
        <v>754841.63731920708</v>
      </c>
      <c r="R94" s="25">
        <f>+Q94/(Population!AN95*Population!X95)</f>
        <v>57.065684214988408</v>
      </c>
      <c r="S94" s="25"/>
      <c r="T94" s="78">
        <v>164.5187</v>
      </c>
      <c r="U94" s="76">
        <v>15</v>
      </c>
      <c r="V94" s="25">
        <f t="shared" si="11"/>
        <v>45575.185696743196</v>
      </c>
      <c r="W94" s="25"/>
      <c r="X94" s="25"/>
      <c r="Y94" s="25"/>
      <c r="Z94" s="25"/>
      <c r="AA94" s="25"/>
      <c r="AB94" s="25"/>
      <c r="AC94" s="25"/>
      <c r="AD94" s="32">
        <v>100</v>
      </c>
    </row>
    <row r="95" spans="1:31" ht="15" x14ac:dyDescent="0.25">
      <c r="A95">
        <f t="shared" si="12"/>
        <v>1793</v>
      </c>
      <c r="B95" s="24">
        <f>+Population!AN96</f>
        <v>0.31211542281816024</v>
      </c>
      <c r="C95" s="25">
        <f>+Population!X96*Population!Z96*resteconomy!B95</f>
        <v>10323.496985824981</v>
      </c>
      <c r="D95" s="25">
        <v>758.22433412620012</v>
      </c>
      <c r="E95" s="25">
        <f t="shared" si="7"/>
        <v>550703.29476056912</v>
      </c>
      <c r="F95" s="25"/>
      <c r="G95" s="25">
        <f t="shared" si="8"/>
        <v>111048.74881288562</v>
      </c>
      <c r="H95" s="25">
        <f>+('Livestock in possession'!R95+'Livestock in possession'!T95/2)*'Agricultural production'!Z96*0.1</f>
        <v>19297.784303470882</v>
      </c>
      <c r="I95" s="25">
        <f>+'Agricultural production'!Q96*'Agricultural production'!AE96*0.2</f>
        <v>91750.964509414742</v>
      </c>
      <c r="K95" s="25">
        <f>+O95*'Agricultural production'!C96</f>
        <v>175297.41694915254</v>
      </c>
      <c r="M95" s="25">
        <f t="shared" si="9"/>
        <v>8801.7504499999995</v>
      </c>
      <c r="N95" s="25">
        <f>+'Gross receipts from VOC sales'!B97*0.2</f>
        <v>14000</v>
      </c>
      <c r="O95" s="25">
        <v>29.842937853107344</v>
      </c>
      <c r="P95" s="25"/>
      <c r="Q95" s="25">
        <f t="shared" si="10"/>
        <v>859851.21097260725</v>
      </c>
      <c r="R95" s="25">
        <f>+Q95/(Population!AN96*Population!X96)</f>
        <v>60.060791116137466</v>
      </c>
      <c r="S95" s="25"/>
      <c r="T95" s="78">
        <v>164.5187</v>
      </c>
      <c r="U95" s="76">
        <v>107</v>
      </c>
      <c r="V95" s="25">
        <f t="shared" si="11"/>
        <v>75822.433412619983</v>
      </c>
      <c r="W95" s="25"/>
      <c r="X95" s="25"/>
      <c r="Y95" s="25"/>
      <c r="Z95" s="25"/>
      <c r="AA95" s="25"/>
      <c r="AB95" s="25"/>
      <c r="AC95" s="25"/>
      <c r="AD95" s="32">
        <v>100</v>
      </c>
    </row>
    <row r="96" spans="1:31" ht="15" x14ac:dyDescent="0.25">
      <c r="A96">
        <f t="shared" si="12"/>
        <v>1794</v>
      </c>
      <c r="B96" s="24">
        <f>+Population!AN97</f>
        <v>0.37039744355408011</v>
      </c>
      <c r="C96" s="25">
        <f>+Population!X97*Population!Z97*resteconomy!B96</f>
        <v>13232.599369857917</v>
      </c>
      <c r="D96" s="25">
        <v>398.06112086263238</v>
      </c>
      <c r="E96" s="25">
        <f t="shared" si="7"/>
        <v>648505.68309972738</v>
      </c>
      <c r="F96" s="25"/>
      <c r="G96" s="25">
        <f t="shared" si="8"/>
        <v>120704.91171423331</v>
      </c>
      <c r="H96" s="25">
        <f>+('Livestock in possession'!R96+'Livestock in possession'!T96/2)*'Agricultural production'!Z97*0.1</f>
        <v>23067.230211095059</v>
      </c>
      <c r="I96" s="25">
        <f>+'Agricultural production'!Q97*'Agricultural production'!AE97*0.2</f>
        <v>97637.681503138258</v>
      </c>
      <c r="K96" s="25">
        <f>+O96*'Agricultural production'!C97</f>
        <v>181228.70084745763</v>
      </c>
      <c r="M96" s="25">
        <f t="shared" si="9"/>
        <v>8472.7130500000003</v>
      </c>
      <c r="N96" s="25">
        <f>+'Gross receipts from VOC sales'!B98*0.2</f>
        <v>14000</v>
      </c>
      <c r="O96" s="25">
        <v>29.842937853107344</v>
      </c>
      <c r="P96" s="25"/>
      <c r="Q96" s="25">
        <f t="shared" si="10"/>
        <v>972912.00871141837</v>
      </c>
      <c r="R96" s="25">
        <f>+Q96/(Population!AN97*Population!X97)</f>
        <v>53.322646724967662</v>
      </c>
      <c r="S96" s="25"/>
      <c r="T96" s="78">
        <v>164.5187</v>
      </c>
      <c r="U96" s="76">
        <v>103</v>
      </c>
      <c r="V96" s="25">
        <f t="shared" si="11"/>
        <v>39806.112086263252</v>
      </c>
      <c r="W96" s="25"/>
      <c r="X96" s="25"/>
      <c r="Y96" s="25"/>
      <c r="Z96" s="25"/>
      <c r="AA96" s="25"/>
      <c r="AB96" s="25"/>
      <c r="AC96" s="25"/>
      <c r="AD96" s="25"/>
    </row>
    <row r="97" spans="1:30" ht="15" x14ac:dyDescent="0.25">
      <c r="A97">
        <f t="shared" si="12"/>
        <v>1795</v>
      </c>
      <c r="B97" s="24">
        <f>+Population!AN98</f>
        <v>0.37525643614336196</v>
      </c>
      <c r="C97" s="25">
        <f>+Population!X98*Population!Z98*resteconomy!B97</f>
        <v>13233.148832757555</v>
      </c>
      <c r="D97" s="25">
        <v>70</v>
      </c>
      <c r="E97" s="25">
        <f t="shared" si="7"/>
        <v>615724.84630684752</v>
      </c>
      <c r="F97" s="25"/>
      <c r="G97" s="25">
        <f t="shared" si="8"/>
        <v>122503.65446965996</v>
      </c>
      <c r="H97" s="25">
        <f>+('Livestock in possession'!R97+'Livestock in possession'!T97/2)*'Agricultural production'!Z98*0.1</f>
        <v>25217.399469659955</v>
      </c>
      <c r="I97" s="25">
        <f>+'Agricultural production'!Q98*'Agricultural production'!AE98*0.2</f>
        <v>97286.255000000005</v>
      </c>
      <c r="K97" s="25">
        <f>+O97*'Agricultural production'!C98</f>
        <v>0</v>
      </c>
      <c r="U97" s="76">
        <v>127</v>
      </c>
      <c r="V97" s="25">
        <f t="shared" si="11"/>
        <v>7000</v>
      </c>
      <c r="W97" s="25"/>
      <c r="X97" s="25"/>
      <c r="Y97" s="25"/>
      <c r="Z97" s="25"/>
      <c r="AA97" s="25"/>
      <c r="AB97" s="25"/>
      <c r="AC97" s="25"/>
      <c r="AD97" s="25"/>
    </row>
    <row r="98" spans="1:30" ht="15" x14ac:dyDescent="0.25">
      <c r="A98">
        <f t="shared" si="12"/>
        <v>1796</v>
      </c>
      <c r="U98" s="77"/>
    </row>
    <row r="99" spans="1:30" ht="15" x14ac:dyDescent="0.25">
      <c r="A99">
        <f t="shared" si="12"/>
        <v>1797</v>
      </c>
      <c r="U99" s="77"/>
    </row>
    <row r="100" spans="1:30" x14ac:dyDescent="0.2">
      <c r="A100">
        <f t="shared" si="12"/>
        <v>1798</v>
      </c>
    </row>
    <row r="101" spans="1:30" x14ac:dyDescent="0.2">
      <c r="A101">
        <f t="shared" si="12"/>
        <v>1799</v>
      </c>
    </row>
    <row r="102" spans="1:30" x14ac:dyDescent="0.2">
      <c r="A102">
        <f t="shared" si="12"/>
        <v>1800</v>
      </c>
    </row>
    <row r="103" spans="1:30" x14ac:dyDescent="0.2">
      <c r="A103">
        <f t="shared" si="12"/>
        <v>1801</v>
      </c>
    </row>
    <row r="104" spans="1:30" x14ac:dyDescent="0.2">
      <c r="A104">
        <f t="shared" si="12"/>
        <v>1802</v>
      </c>
    </row>
    <row r="105" spans="1:30" x14ac:dyDescent="0.2">
      <c r="A105">
        <f t="shared" si="12"/>
        <v>1803</v>
      </c>
    </row>
    <row r="106" spans="1:30" x14ac:dyDescent="0.2">
      <c r="A106">
        <f t="shared" si="12"/>
        <v>1804</v>
      </c>
    </row>
    <row r="107" spans="1:30" x14ac:dyDescent="0.2">
      <c r="A107">
        <f t="shared" si="12"/>
        <v>1805</v>
      </c>
    </row>
    <row r="108" spans="1:30" x14ac:dyDescent="0.2">
      <c r="A108">
        <f t="shared" si="12"/>
        <v>1806</v>
      </c>
    </row>
    <row r="109" spans="1:30" x14ac:dyDescent="0.2">
      <c r="A109">
        <f t="shared" si="12"/>
        <v>1807</v>
      </c>
    </row>
    <row r="110" spans="1:30" x14ac:dyDescent="0.2">
      <c r="A110">
        <f t="shared" si="12"/>
        <v>1808</v>
      </c>
    </row>
    <row r="111" spans="1:30" x14ac:dyDescent="0.2">
      <c r="A111">
        <f t="shared" si="12"/>
        <v>1809</v>
      </c>
    </row>
    <row r="112" spans="1:30" x14ac:dyDescent="0.2">
      <c r="A112">
        <f t="shared" si="12"/>
        <v>1810</v>
      </c>
    </row>
    <row r="113" spans="1:1" x14ac:dyDescent="0.2">
      <c r="A113">
        <f t="shared" si="12"/>
        <v>1811</v>
      </c>
    </row>
    <row r="114" spans="1:1" x14ac:dyDescent="0.2">
      <c r="A114">
        <f t="shared" si="12"/>
        <v>1812</v>
      </c>
    </row>
    <row r="115" spans="1:1" x14ac:dyDescent="0.2">
      <c r="A115">
        <f t="shared" si="12"/>
        <v>1813</v>
      </c>
    </row>
    <row r="116" spans="1:1" x14ac:dyDescent="0.2">
      <c r="A116">
        <f t="shared" si="12"/>
        <v>1814</v>
      </c>
    </row>
    <row r="117" spans="1:1" x14ac:dyDescent="0.2">
      <c r="A117">
        <f t="shared" si="12"/>
        <v>1815</v>
      </c>
    </row>
    <row r="118" spans="1:1" x14ac:dyDescent="0.2">
      <c r="A118">
        <f t="shared" si="12"/>
        <v>1816</v>
      </c>
    </row>
    <row r="119" spans="1:1" x14ac:dyDescent="0.2">
      <c r="A119">
        <f t="shared" si="12"/>
        <v>1817</v>
      </c>
    </row>
    <row r="120" spans="1:1" x14ac:dyDescent="0.2">
      <c r="A120">
        <f t="shared" si="12"/>
        <v>1818</v>
      </c>
    </row>
    <row r="121" spans="1:1" x14ac:dyDescent="0.2">
      <c r="A121">
        <f t="shared" si="12"/>
        <v>1819</v>
      </c>
    </row>
    <row r="122" spans="1:1" x14ac:dyDescent="0.2">
      <c r="A122">
        <f t="shared" si="12"/>
        <v>1820</v>
      </c>
    </row>
    <row r="123" spans="1:1" x14ac:dyDescent="0.2">
      <c r="A123">
        <f t="shared" si="12"/>
        <v>1821</v>
      </c>
    </row>
    <row r="124" spans="1:1" x14ac:dyDescent="0.2">
      <c r="A124">
        <f t="shared" si="12"/>
        <v>1822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workbookViewId="0">
      <selection activeCell="B3" sqref="B3"/>
    </sheetView>
  </sheetViews>
  <sheetFormatPr defaultRowHeight="12.75" x14ac:dyDescent="0.2"/>
  <sheetData>
    <row r="1" spans="1:2" x14ac:dyDescent="0.2">
      <c r="A1" t="s">
        <v>1</v>
      </c>
    </row>
    <row r="3" spans="1:2" x14ac:dyDescent="0.2">
      <c r="A3">
        <v>1702</v>
      </c>
      <c r="B3" s="33">
        <v>24513</v>
      </c>
    </row>
    <row r="4" spans="1:2" x14ac:dyDescent="0.2">
      <c r="A4">
        <v>1703</v>
      </c>
      <c r="B4" s="33"/>
    </row>
    <row r="5" spans="1:2" x14ac:dyDescent="0.2">
      <c r="A5">
        <v>1704</v>
      </c>
      <c r="B5" s="33">
        <v>36497</v>
      </c>
    </row>
    <row r="6" spans="1:2" x14ac:dyDescent="0.2">
      <c r="A6">
        <v>1705</v>
      </c>
      <c r="B6" s="33">
        <v>30565</v>
      </c>
    </row>
    <row r="7" spans="1:2" x14ac:dyDescent="0.2">
      <c r="A7">
        <v>1706</v>
      </c>
      <c r="B7" s="33">
        <v>28827</v>
      </c>
    </row>
    <row r="8" spans="1:2" x14ac:dyDescent="0.2">
      <c r="A8">
        <v>1707</v>
      </c>
      <c r="B8" s="33">
        <v>16041</v>
      </c>
    </row>
    <row r="9" spans="1:2" x14ac:dyDescent="0.2">
      <c r="A9">
        <v>1708</v>
      </c>
      <c r="B9" s="33">
        <v>29616</v>
      </c>
    </row>
    <row r="10" spans="1:2" x14ac:dyDescent="0.2">
      <c r="A10">
        <v>1709</v>
      </c>
      <c r="B10" s="33">
        <v>113121</v>
      </c>
    </row>
    <row r="11" spans="1:2" x14ac:dyDescent="0.2">
      <c r="A11">
        <v>1710</v>
      </c>
      <c r="B11" s="33">
        <v>119709</v>
      </c>
    </row>
    <row r="12" spans="1:2" x14ac:dyDescent="0.2">
      <c r="A12">
        <v>1711</v>
      </c>
      <c r="B12" s="33">
        <v>51084</v>
      </c>
    </row>
    <row r="13" spans="1:2" x14ac:dyDescent="0.2">
      <c r="A13">
        <v>1712</v>
      </c>
      <c r="B13" s="33">
        <v>43691</v>
      </c>
    </row>
    <row r="14" spans="1:2" x14ac:dyDescent="0.2">
      <c r="A14">
        <v>1713</v>
      </c>
      <c r="B14" s="33">
        <v>79021</v>
      </c>
    </row>
    <row r="15" spans="1:2" x14ac:dyDescent="0.2">
      <c r="A15">
        <v>1714</v>
      </c>
      <c r="B15" s="33">
        <v>38534</v>
      </c>
    </row>
    <row r="16" spans="1:2" x14ac:dyDescent="0.2">
      <c r="A16">
        <v>1715</v>
      </c>
      <c r="B16" s="33">
        <v>81654</v>
      </c>
    </row>
    <row r="17" spans="1:2" x14ac:dyDescent="0.2">
      <c r="A17">
        <v>1716</v>
      </c>
      <c r="B17" s="33">
        <v>77312</v>
      </c>
    </row>
    <row r="18" spans="1:2" x14ac:dyDescent="0.2">
      <c r="A18">
        <v>1717</v>
      </c>
      <c r="B18" s="33">
        <v>49689</v>
      </c>
    </row>
    <row r="19" spans="1:2" x14ac:dyDescent="0.2">
      <c r="A19">
        <v>1718</v>
      </c>
      <c r="B19" s="33">
        <v>206936</v>
      </c>
    </row>
    <row r="20" spans="1:2" x14ac:dyDescent="0.2">
      <c r="A20">
        <v>1719</v>
      </c>
      <c r="B20" s="33">
        <v>39838</v>
      </c>
    </row>
    <row r="21" spans="1:2" x14ac:dyDescent="0.2">
      <c r="A21">
        <v>1720</v>
      </c>
      <c r="B21" s="33">
        <v>42691</v>
      </c>
    </row>
    <row r="22" spans="1:2" x14ac:dyDescent="0.2">
      <c r="A22">
        <v>1721</v>
      </c>
      <c r="B22" s="33">
        <v>21929</v>
      </c>
    </row>
    <row r="23" spans="1:2" x14ac:dyDescent="0.2">
      <c r="A23">
        <v>1722</v>
      </c>
      <c r="B23" s="33"/>
    </row>
    <row r="24" spans="1:2" x14ac:dyDescent="0.2">
      <c r="A24">
        <v>1723</v>
      </c>
      <c r="B24" s="33">
        <v>94078</v>
      </c>
    </row>
    <row r="25" spans="1:2" x14ac:dyDescent="0.2">
      <c r="A25">
        <v>1724</v>
      </c>
      <c r="B25" s="33">
        <v>163828</v>
      </c>
    </row>
    <row r="26" spans="1:2" x14ac:dyDescent="0.2">
      <c r="A26">
        <v>1725</v>
      </c>
      <c r="B26" s="33">
        <v>161148</v>
      </c>
    </row>
    <row r="27" spans="1:2" x14ac:dyDescent="0.2">
      <c r="A27">
        <v>1726</v>
      </c>
      <c r="B27" s="33">
        <v>127365</v>
      </c>
    </row>
    <row r="28" spans="1:2" x14ac:dyDescent="0.2">
      <c r="A28">
        <v>1727</v>
      </c>
      <c r="B28" s="33">
        <v>162304</v>
      </c>
    </row>
    <row r="29" spans="1:2" x14ac:dyDescent="0.2">
      <c r="A29">
        <v>1728</v>
      </c>
      <c r="B29" s="33">
        <v>69218</v>
      </c>
    </row>
    <row r="30" spans="1:2" x14ac:dyDescent="0.2">
      <c r="A30">
        <v>1729</v>
      </c>
      <c r="B30" s="33">
        <v>47081</v>
      </c>
    </row>
    <row r="31" spans="1:2" x14ac:dyDescent="0.2">
      <c r="A31">
        <v>1730</v>
      </c>
      <c r="B31" s="33">
        <v>110044</v>
      </c>
    </row>
    <row r="32" spans="1:2" x14ac:dyDescent="0.2">
      <c r="A32">
        <v>1731</v>
      </c>
      <c r="B32" s="33">
        <v>80039</v>
      </c>
    </row>
    <row r="33" spans="1:2" x14ac:dyDescent="0.2">
      <c r="A33">
        <v>1732</v>
      </c>
      <c r="B33" s="33">
        <v>114351</v>
      </c>
    </row>
    <row r="34" spans="1:2" x14ac:dyDescent="0.2">
      <c r="A34">
        <v>1733</v>
      </c>
      <c r="B34" s="33">
        <v>115724</v>
      </c>
    </row>
    <row r="35" spans="1:2" x14ac:dyDescent="0.2">
      <c r="A35">
        <v>1734</v>
      </c>
      <c r="B35" s="33">
        <v>64203</v>
      </c>
    </row>
    <row r="36" spans="1:2" x14ac:dyDescent="0.2">
      <c r="A36">
        <v>1735</v>
      </c>
      <c r="B36" s="33">
        <v>12371</v>
      </c>
    </row>
    <row r="37" spans="1:2" x14ac:dyDescent="0.2">
      <c r="A37">
        <v>1736</v>
      </c>
      <c r="B37" s="33">
        <v>157551</v>
      </c>
    </row>
    <row r="38" spans="1:2" x14ac:dyDescent="0.2">
      <c r="A38">
        <v>1737</v>
      </c>
      <c r="B38" s="33">
        <v>124733</v>
      </c>
    </row>
    <row r="39" spans="1:2" x14ac:dyDescent="0.2">
      <c r="A39">
        <v>1738</v>
      </c>
      <c r="B39" s="33">
        <v>146408</v>
      </c>
    </row>
    <row r="40" spans="1:2" x14ac:dyDescent="0.2">
      <c r="A40">
        <v>1739</v>
      </c>
      <c r="B40" s="33">
        <v>169910</v>
      </c>
    </row>
    <row r="41" spans="1:2" x14ac:dyDescent="0.2">
      <c r="A41">
        <v>1740</v>
      </c>
      <c r="B41" s="33">
        <v>92612</v>
      </c>
    </row>
    <row r="42" spans="1:2" x14ac:dyDescent="0.2">
      <c r="A42">
        <v>1741</v>
      </c>
      <c r="B42" s="33">
        <v>213969</v>
      </c>
    </row>
    <row r="43" spans="1:2" x14ac:dyDescent="0.2">
      <c r="A43">
        <v>1742</v>
      </c>
      <c r="B43" s="33">
        <v>224350</v>
      </c>
    </row>
    <row r="44" spans="1:2" x14ac:dyDescent="0.2">
      <c r="A44">
        <v>1743</v>
      </c>
      <c r="B44" s="33">
        <v>236210</v>
      </c>
    </row>
    <row r="45" spans="1:2" x14ac:dyDescent="0.2">
      <c r="A45">
        <v>1744</v>
      </c>
      <c r="B45" s="33">
        <v>160047</v>
      </c>
    </row>
    <row r="46" spans="1:2" x14ac:dyDescent="0.2">
      <c r="A46">
        <v>1745</v>
      </c>
      <c r="B46" s="33">
        <v>178228</v>
      </c>
    </row>
    <row r="47" spans="1:2" x14ac:dyDescent="0.2">
      <c r="A47">
        <v>1746</v>
      </c>
      <c r="B47" s="33">
        <v>232512</v>
      </c>
    </row>
    <row r="48" spans="1:2" x14ac:dyDescent="0.2">
      <c r="A48">
        <v>1747</v>
      </c>
      <c r="B48" s="33">
        <v>302302</v>
      </c>
    </row>
    <row r="49" spans="1:2" x14ac:dyDescent="0.2">
      <c r="A49">
        <v>1748</v>
      </c>
      <c r="B49" s="33">
        <v>258690</v>
      </c>
    </row>
    <row r="50" spans="1:2" x14ac:dyDescent="0.2">
      <c r="A50">
        <v>1749</v>
      </c>
      <c r="B50" s="33">
        <v>154794</v>
      </c>
    </row>
    <row r="51" spans="1:2" x14ac:dyDescent="0.2">
      <c r="A51">
        <v>1750</v>
      </c>
      <c r="B51" s="33">
        <v>253193</v>
      </c>
    </row>
    <row r="52" spans="1:2" x14ac:dyDescent="0.2">
      <c r="A52">
        <v>1751</v>
      </c>
      <c r="B52" s="33">
        <v>321752</v>
      </c>
    </row>
    <row r="53" spans="1:2" x14ac:dyDescent="0.2">
      <c r="A53">
        <v>1752</v>
      </c>
      <c r="B53" s="33">
        <v>284063</v>
      </c>
    </row>
    <row r="54" spans="1:2" x14ac:dyDescent="0.2">
      <c r="A54">
        <v>1753</v>
      </c>
      <c r="B54" s="33">
        <v>427762</v>
      </c>
    </row>
    <row r="55" spans="1:2" x14ac:dyDescent="0.2">
      <c r="A55">
        <v>1754</v>
      </c>
      <c r="B55" s="33">
        <v>330785</v>
      </c>
    </row>
    <row r="56" spans="1:2" x14ac:dyDescent="0.2">
      <c r="A56">
        <v>1755</v>
      </c>
      <c r="B56" s="33">
        <v>398798</v>
      </c>
    </row>
    <row r="57" spans="1:2" x14ac:dyDescent="0.2">
      <c r="A57">
        <v>1756</v>
      </c>
      <c r="B57" s="33">
        <v>271169</v>
      </c>
    </row>
    <row r="58" spans="1:2" x14ac:dyDescent="0.2">
      <c r="A58">
        <v>1757</v>
      </c>
      <c r="B58" s="33">
        <v>334991</v>
      </c>
    </row>
    <row r="59" spans="1:2" x14ac:dyDescent="0.2">
      <c r="A59">
        <v>1758</v>
      </c>
      <c r="B59" s="33">
        <v>218688</v>
      </c>
    </row>
    <row r="60" spans="1:2" x14ac:dyDescent="0.2">
      <c r="A60">
        <v>1759</v>
      </c>
      <c r="B60" s="33">
        <v>219431</v>
      </c>
    </row>
    <row r="61" spans="1:2" x14ac:dyDescent="0.2">
      <c r="A61">
        <v>1760</v>
      </c>
      <c r="B61" s="33">
        <v>190481</v>
      </c>
    </row>
    <row r="62" spans="1:2" x14ac:dyDescent="0.2">
      <c r="A62">
        <v>1761</v>
      </c>
      <c r="B62">
        <v>197757</v>
      </c>
    </row>
    <row r="63" spans="1:2" x14ac:dyDescent="0.2">
      <c r="A63">
        <v>1762</v>
      </c>
      <c r="B63">
        <v>53568</v>
      </c>
    </row>
    <row r="64" spans="1:2" x14ac:dyDescent="0.2">
      <c r="A64">
        <v>1763</v>
      </c>
      <c r="B64">
        <v>83504</v>
      </c>
    </row>
    <row r="65" spans="1:2" x14ac:dyDescent="0.2">
      <c r="A65">
        <v>1764</v>
      </c>
      <c r="B65">
        <v>102118</v>
      </c>
    </row>
    <row r="66" spans="1:2" x14ac:dyDescent="0.2">
      <c r="A66">
        <v>1765</v>
      </c>
      <c r="B66">
        <v>287921</v>
      </c>
    </row>
    <row r="67" spans="1:2" x14ac:dyDescent="0.2">
      <c r="A67">
        <v>1766</v>
      </c>
      <c r="B67">
        <v>352865</v>
      </c>
    </row>
    <row r="68" spans="1:2" x14ac:dyDescent="0.2">
      <c r="A68">
        <v>1767</v>
      </c>
      <c r="B68">
        <v>161531</v>
      </c>
    </row>
    <row r="69" spans="1:2" x14ac:dyDescent="0.2">
      <c r="A69">
        <v>1768</v>
      </c>
      <c r="B69">
        <v>169767</v>
      </c>
    </row>
    <row r="70" spans="1:2" x14ac:dyDescent="0.2">
      <c r="A70">
        <v>1769</v>
      </c>
      <c r="B70">
        <v>147565</v>
      </c>
    </row>
    <row r="71" spans="1:2" x14ac:dyDescent="0.2">
      <c r="A71">
        <v>1770</v>
      </c>
      <c r="B71">
        <v>129515</v>
      </c>
    </row>
    <row r="72" spans="1:2" x14ac:dyDescent="0.2">
      <c r="A72">
        <v>1771</v>
      </c>
      <c r="B72">
        <v>200727</v>
      </c>
    </row>
    <row r="73" spans="1:2" x14ac:dyDescent="0.2">
      <c r="A73">
        <v>1772</v>
      </c>
      <c r="B73">
        <v>183126</v>
      </c>
    </row>
    <row r="74" spans="1:2" x14ac:dyDescent="0.2">
      <c r="A74">
        <v>1773</v>
      </c>
      <c r="B74">
        <v>231724</v>
      </c>
    </row>
    <row r="75" spans="1:2" x14ac:dyDescent="0.2">
      <c r="A75">
        <v>1774</v>
      </c>
      <c r="B75">
        <v>483434</v>
      </c>
    </row>
    <row r="76" spans="1:2" x14ac:dyDescent="0.2">
      <c r="A76">
        <v>1775</v>
      </c>
      <c r="B76">
        <v>339616</v>
      </c>
    </row>
    <row r="77" spans="1:2" x14ac:dyDescent="0.2">
      <c r="A77">
        <v>1776</v>
      </c>
      <c r="B77">
        <v>288444</v>
      </c>
    </row>
    <row r="78" spans="1:2" x14ac:dyDescent="0.2">
      <c r="A78">
        <v>1777</v>
      </c>
      <c r="B78">
        <v>298444</v>
      </c>
    </row>
    <row r="79" spans="1:2" x14ac:dyDescent="0.2">
      <c r="A79">
        <v>1778</v>
      </c>
      <c r="B79">
        <v>178926</v>
      </c>
    </row>
    <row r="80" spans="1:2" x14ac:dyDescent="0.2">
      <c r="A80">
        <v>1779</v>
      </c>
      <c r="B80">
        <v>299999</v>
      </c>
    </row>
    <row r="81" spans="1:2" x14ac:dyDescent="0.2">
      <c r="A81">
        <v>1780</v>
      </c>
      <c r="B81">
        <v>299999</v>
      </c>
    </row>
    <row r="82" spans="1:2" x14ac:dyDescent="0.2">
      <c r="A82">
        <v>1781</v>
      </c>
      <c r="B82">
        <v>200002</v>
      </c>
    </row>
    <row r="83" spans="1:2" x14ac:dyDescent="0.2">
      <c r="A83">
        <v>1782</v>
      </c>
      <c r="B83">
        <v>186719</v>
      </c>
    </row>
    <row r="84" spans="1:2" x14ac:dyDescent="0.2">
      <c r="A84">
        <v>1783</v>
      </c>
      <c r="B84">
        <v>271371</v>
      </c>
    </row>
    <row r="85" spans="1:2" x14ac:dyDescent="0.2">
      <c r="A85">
        <v>1784</v>
      </c>
      <c r="B85">
        <v>648374</v>
      </c>
    </row>
    <row r="86" spans="1:2" x14ac:dyDescent="0.2">
      <c r="A86">
        <v>1785</v>
      </c>
      <c r="B86">
        <v>804228</v>
      </c>
    </row>
    <row r="87" spans="1:2" x14ac:dyDescent="0.2">
      <c r="A87">
        <v>1786</v>
      </c>
      <c r="B87">
        <v>276731</v>
      </c>
    </row>
    <row r="88" spans="1:2" x14ac:dyDescent="0.2">
      <c r="A88">
        <v>1787</v>
      </c>
      <c r="B88">
        <v>994950</v>
      </c>
    </row>
    <row r="89" spans="1:2" x14ac:dyDescent="0.2">
      <c r="A89">
        <v>1788</v>
      </c>
      <c r="B89">
        <v>529421</v>
      </c>
    </row>
    <row r="90" spans="1:2" x14ac:dyDescent="0.2">
      <c r="A90">
        <v>1789</v>
      </c>
      <c r="B90">
        <v>499820</v>
      </c>
    </row>
    <row r="91" spans="1:2" x14ac:dyDescent="0.2">
      <c r="A91">
        <v>1790</v>
      </c>
      <c r="B91">
        <v>516774</v>
      </c>
    </row>
    <row r="92" spans="1:2" x14ac:dyDescent="0.2">
      <c r="A92">
        <v>1791</v>
      </c>
      <c r="B92">
        <v>507394</v>
      </c>
    </row>
    <row r="93" spans="1:2" x14ac:dyDescent="0.2">
      <c r="A93">
        <v>1792</v>
      </c>
      <c r="B93">
        <v>499999</v>
      </c>
    </row>
    <row r="94" spans="1:2" x14ac:dyDescent="0.2">
      <c r="A94">
        <v>1793</v>
      </c>
      <c r="B94">
        <v>399997</v>
      </c>
    </row>
    <row r="96" spans="1:2" x14ac:dyDescent="0.2">
      <c r="A96" s="1" t="s">
        <v>2</v>
      </c>
    </row>
  </sheetData>
  <phoneticPr fontId="5" type="noConversion"/>
  <pageMargins left="0.75" right="0.75" top="1" bottom="1" header="0.5" footer="0.5"/>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0"/>
  <sheetViews>
    <sheetView tabSelected="1" topLeftCell="T1" workbookViewId="0">
      <selection sqref="A1:AH1"/>
    </sheetView>
  </sheetViews>
  <sheetFormatPr defaultRowHeight="12.75" x14ac:dyDescent="0.2"/>
  <cols>
    <col min="9" max="9" width="10.5703125" bestFit="1" customWidth="1"/>
    <col min="10" max="10" width="9.5703125" bestFit="1" customWidth="1"/>
    <col min="23" max="23" width="9.5703125" bestFit="1" customWidth="1"/>
    <col min="30" max="32" width="10.140625" bestFit="1" customWidth="1"/>
  </cols>
  <sheetData>
    <row r="1" spans="1:33" x14ac:dyDescent="0.2">
      <c r="B1" s="27" t="s">
        <v>372</v>
      </c>
      <c r="C1" t="s">
        <v>273</v>
      </c>
      <c r="D1" s="27" t="s">
        <v>373</v>
      </c>
      <c r="E1" s="27" t="s">
        <v>374</v>
      </c>
      <c r="G1" t="s">
        <v>33</v>
      </c>
      <c r="H1" t="s">
        <v>302</v>
      </c>
      <c r="I1" t="s">
        <v>288</v>
      </c>
      <c r="J1" t="s">
        <v>262</v>
      </c>
      <c r="L1" t="s">
        <v>305</v>
      </c>
      <c r="M1" s="27" t="s">
        <v>366</v>
      </c>
      <c r="P1" t="s">
        <v>179</v>
      </c>
      <c r="T1" t="s">
        <v>292</v>
      </c>
      <c r="W1" t="s">
        <v>295</v>
      </c>
      <c r="Z1" t="s">
        <v>298</v>
      </c>
      <c r="AC1" s="27" t="s">
        <v>367</v>
      </c>
    </row>
    <row r="2" spans="1:33" x14ac:dyDescent="0.2">
      <c r="B2" s="27" t="s">
        <v>251</v>
      </c>
      <c r="C2" s="27" t="s">
        <v>251</v>
      </c>
      <c r="D2" s="27" t="s">
        <v>251</v>
      </c>
      <c r="E2" s="27" t="s">
        <v>251</v>
      </c>
      <c r="F2" s="27"/>
      <c r="G2" t="s">
        <v>301</v>
      </c>
      <c r="J2" t="s">
        <v>289</v>
      </c>
      <c r="K2" s="27" t="s">
        <v>364</v>
      </c>
      <c r="L2" t="s">
        <v>290</v>
      </c>
      <c r="M2" s="27" t="s">
        <v>365</v>
      </c>
      <c r="N2" t="s">
        <v>320</v>
      </c>
      <c r="P2" s="27" t="s">
        <v>271</v>
      </c>
      <c r="Q2" t="s">
        <v>273</v>
      </c>
      <c r="R2" t="s">
        <v>270</v>
      </c>
      <c r="T2" t="s">
        <v>294</v>
      </c>
      <c r="U2" t="s">
        <v>293</v>
      </c>
      <c r="X2" t="s">
        <v>296</v>
      </c>
      <c r="Y2" t="s">
        <v>297</v>
      </c>
      <c r="Z2" t="s">
        <v>299</v>
      </c>
      <c r="AA2" t="s">
        <v>300</v>
      </c>
      <c r="AB2" t="s">
        <v>321</v>
      </c>
      <c r="AD2" t="s">
        <v>314</v>
      </c>
      <c r="AE2" t="s">
        <v>315</v>
      </c>
      <c r="AF2" t="s">
        <v>316</v>
      </c>
      <c r="AG2" t="s">
        <v>317</v>
      </c>
    </row>
    <row r="3" spans="1:33" x14ac:dyDescent="0.2">
      <c r="A3">
        <v>1701</v>
      </c>
      <c r="B3" s="25">
        <f>+'Agricultural production'!AJ4</f>
        <v>337.83918693796727</v>
      </c>
      <c r="C3" s="25">
        <f>+'incomeVOC and total income'!U3</f>
        <v>113.66537378860677</v>
      </c>
      <c r="D3" s="25">
        <f>+resteconomy!Q3/1000</f>
        <v>167.9578132421417</v>
      </c>
      <c r="E3" s="25">
        <f>+D3+C3+B3</f>
        <v>619.46237396871572</v>
      </c>
      <c r="F3" s="25"/>
      <c r="G3" s="25">
        <f>+E3*100/(L3*5.1)</f>
        <v>121.4629868351365</v>
      </c>
      <c r="H3" s="25">
        <f>+Population!X4/38.04</f>
        <v>100.96345951629864</v>
      </c>
      <c r="I3" s="25">
        <f>1000*E3/Population!X4</f>
        <v>161.29102468819491</v>
      </c>
      <c r="J3" s="41">
        <f>+'incomeVOC and total income'!G3/7.69</f>
        <v>22.313811727401056</v>
      </c>
      <c r="K3" s="25">
        <f>+J3/0.2231381</f>
        <v>100.00000774139896</v>
      </c>
      <c r="L3" s="25">
        <f>+(J3*100/22.31381)*0.53+0.47*'Agricultural production'!AS4/0.93226</f>
        <v>100.00018420999717</v>
      </c>
      <c r="M3" s="25">
        <f>+I3*100/L3</f>
        <v>161.2907275745502</v>
      </c>
      <c r="N3" s="25">
        <f>+M3/(Population!O4/Population!X4)</f>
        <v>86.266806418707262</v>
      </c>
      <c r="O3" s="25"/>
      <c r="P3" s="24">
        <f>+B3/E3</f>
        <v>0.54537483007003251</v>
      </c>
      <c r="Q3" s="24">
        <f>+C3/E3</f>
        <v>0.18349035964910299</v>
      </c>
      <c r="R3" s="24">
        <f>+D3/E3</f>
        <v>0.27113481028086456</v>
      </c>
      <c r="S3" s="25"/>
      <c r="T3" s="25">
        <f>((1000*E3)-J3*(Population!W4+Population!R4))/Population!T4</f>
        <v>293.82586629702246</v>
      </c>
      <c r="U3" s="25">
        <f>+T3*100/L3</f>
        <v>293.82532504139948</v>
      </c>
      <c r="W3" s="24">
        <v>0.99402584370036284</v>
      </c>
      <c r="X3" s="47">
        <v>176.70046127672694</v>
      </c>
      <c r="Y3" s="48">
        <v>2335.1578861492635</v>
      </c>
      <c r="Z3" s="25">
        <f>(2335*M3/177)*7.69/9.61</f>
        <v>1702.6523089400519</v>
      </c>
      <c r="AA3" s="25">
        <f>+(U3*2335/177)*7.69/9.61</f>
        <v>3101.7428939029646</v>
      </c>
      <c r="AB3" s="25">
        <f>+Z3/(M3/N3)</f>
        <v>910.66845157484875</v>
      </c>
      <c r="AC3" s="49">
        <v>1616.2525401098287</v>
      </c>
      <c r="AD3" s="41">
        <f>+resteconomy!AD3+resteconomy!V3/1000</f>
        <v>120.5</v>
      </c>
      <c r="AE3" s="24">
        <f>+AD3/E3</f>
        <v>0.19452351759153902</v>
      </c>
      <c r="AF3" s="24">
        <f>+resteconomy!AD3/E3</f>
        <v>9.685818303313147E-2</v>
      </c>
      <c r="AG3" s="24">
        <f>+AE3-AF3</f>
        <v>9.7665334558407549E-2</v>
      </c>
    </row>
    <row r="4" spans="1:33" x14ac:dyDescent="0.2">
      <c r="A4">
        <f>+A3+1</f>
        <v>1702</v>
      </c>
      <c r="B4" s="25">
        <f>+'Agricultural production'!AJ5</f>
        <v>374.80291013309272</v>
      </c>
      <c r="C4" s="25">
        <f>+'incomeVOC and total income'!U4</f>
        <v>123.3178014450128</v>
      </c>
      <c r="D4" s="25">
        <f>+resteconomy!Q4/1000</f>
        <v>165.07235472236684</v>
      </c>
      <c r="E4" s="25">
        <f t="shared" ref="E4:E67" si="0">+D4+C4+B4</f>
        <v>663.19306630047231</v>
      </c>
      <c r="F4" s="25"/>
      <c r="G4" s="25">
        <f t="shared" ref="G4:G67" si="1">+E4*100/(L4*5.1)</f>
        <v>131.87359364937905</v>
      </c>
      <c r="H4" s="25">
        <f>+Population!X5/38.04</f>
        <v>109.81966351209253</v>
      </c>
      <c r="I4" s="25">
        <f>1000*E4/Population!X5</f>
        <v>158.75205654535262</v>
      </c>
      <c r="J4" s="41">
        <f>+'incomeVOC and total income'!G4/7.69</f>
        <v>21.579229798010751</v>
      </c>
      <c r="K4" s="25">
        <f t="shared" ref="K4:K67" si="2">+J4/0.2231381</f>
        <v>96.707957081335508</v>
      </c>
      <c r="L4" s="25">
        <f>+(J4*100/22.31381)*0.53+0.47*'Agricultural production'!AS5/0.93226</f>
        <v>98.607956709731951</v>
      </c>
      <c r="M4" s="25">
        <f t="shared" ref="M4:M67" si="3">+I4*100/L4</f>
        <v>160.99315090025067</v>
      </c>
      <c r="N4" s="25">
        <f>+M4/(Population!O5/Population!X5)</f>
        <v>86.704510534128886</v>
      </c>
      <c r="O4" s="25"/>
      <c r="P4" s="24">
        <f t="shared" ref="P4:P67" si="4">+B4/E4</f>
        <v>0.56514901795321404</v>
      </c>
      <c r="Q4" s="24">
        <f t="shared" ref="Q4:Q67" si="5">+C4/E4</f>
        <v>0.18594555297889878</v>
      </c>
      <c r="R4" s="24">
        <f t="shared" ref="R4:R67" si="6">+D4/E4</f>
        <v>0.24890542906788723</v>
      </c>
      <c r="S4" s="25"/>
      <c r="T4" s="25">
        <f>((1000*E4)-J4*(Population!W5+Population!R5))/Population!T5</f>
        <v>278.62614532013407</v>
      </c>
      <c r="U4" s="25">
        <f t="shared" ref="U4:U67" si="7">+T4*100/L4</f>
        <v>282.55949582274985</v>
      </c>
      <c r="W4" s="24">
        <v>1.069447386086475</v>
      </c>
      <c r="X4" s="47">
        <v>201.01024867494246</v>
      </c>
      <c r="Y4" s="48">
        <v>2662.6709629275297</v>
      </c>
      <c r="Z4" s="25">
        <f t="shared" ref="Z4:Z67" si="8">(2335*M4/177)*7.69/9.61</f>
        <v>1699.5109652360336</v>
      </c>
      <c r="AA4" s="25">
        <f t="shared" ref="AA4:AA67" si="9">+(U4*2335/177)*7.69/9.61</f>
        <v>2982.8160937098655</v>
      </c>
      <c r="AB4" s="25">
        <f t="shared" ref="AB4:AB67" si="10">+Z4/(M4/N4)</f>
        <v>915.28903909381029</v>
      </c>
      <c r="AC4" s="49">
        <v>1585.1172301220763</v>
      </c>
      <c r="AD4" s="41">
        <f>+resteconomy!AD4+resteconomy!V4/1000</f>
        <v>121.77028512028511</v>
      </c>
      <c r="AE4" s="24">
        <f t="shared" ref="AE4:AE67" si="11">+AD4/E4</f>
        <v>0.18361212037327718</v>
      </c>
      <c r="AF4" s="24">
        <f>+resteconomy!AD4/E4</f>
        <v>9.0471392191570132E-2</v>
      </c>
      <c r="AG4" s="24">
        <f t="shared" ref="AG4:AG67" si="12">+AE4-AF4</f>
        <v>9.3140728181707044E-2</v>
      </c>
    </row>
    <row r="5" spans="1:33" x14ac:dyDescent="0.2">
      <c r="A5">
        <f t="shared" ref="A5:A68" si="13">+A4+1</f>
        <v>1703</v>
      </c>
      <c r="B5" s="25">
        <f>+'Agricultural production'!AJ6</f>
        <v>385.18387460890017</v>
      </c>
      <c r="C5" s="25">
        <f>+'incomeVOC and total income'!U5</f>
        <v>122.41238868729739</v>
      </c>
      <c r="D5" s="25">
        <f>+resteconomy!Q5/1000</f>
        <v>162.02799803871764</v>
      </c>
      <c r="E5" s="25">
        <f t="shared" si="0"/>
        <v>669.62426133491522</v>
      </c>
      <c r="F5" s="25"/>
      <c r="G5" s="25">
        <f t="shared" si="1"/>
        <v>132.65423041215683</v>
      </c>
      <c r="H5" s="25">
        <f>+Population!X6/38.04</f>
        <v>115.99526813880126</v>
      </c>
      <c r="I5" s="25">
        <f>1000*E5/Population!X6</f>
        <v>151.75758224095293</v>
      </c>
      <c r="J5" s="41">
        <f>+'incomeVOC and total income'!G5/7.69</f>
        <v>21.582463791168504</v>
      </c>
      <c r="K5" s="25">
        <f t="shared" si="2"/>
        <v>96.72245031739763</v>
      </c>
      <c r="L5" s="25">
        <f>+(J5*100/22.31381)*0.53+0.47*'Agricultural production'!AS6/0.93226</f>
        <v>98.978279368555576</v>
      </c>
      <c r="M5" s="25">
        <f t="shared" si="3"/>
        <v>153.32412647412096</v>
      </c>
      <c r="N5" s="25">
        <f>+M5/(Population!O6/Population!X6)</f>
        <v>83.560240621791237</v>
      </c>
      <c r="O5" s="25"/>
      <c r="P5" s="24">
        <f t="shared" si="4"/>
        <v>0.57522389323383394</v>
      </c>
      <c r="Q5" s="24">
        <f t="shared" si="5"/>
        <v>0.18280757695855401</v>
      </c>
      <c r="R5" s="24">
        <f t="shared" si="6"/>
        <v>0.24196852980761205</v>
      </c>
      <c r="S5" s="25"/>
      <c r="T5" s="25">
        <f>((1000*E5)-J5*(Population!W6+Population!R6))/Population!T6</f>
        <v>269.33630400637549</v>
      </c>
      <c r="U5" s="25">
        <f t="shared" si="7"/>
        <v>272.1165751967406</v>
      </c>
      <c r="W5" s="24">
        <v>1.0857405427174991</v>
      </c>
      <c r="X5" s="47">
        <v>161.58733778037202</v>
      </c>
      <c r="Y5" s="48">
        <v>2083.6019198368454</v>
      </c>
      <c r="Z5" s="25">
        <f t="shared" si="8"/>
        <v>1618.5535392089735</v>
      </c>
      <c r="AA5" s="25">
        <f t="shared" si="9"/>
        <v>2872.5762604390166</v>
      </c>
      <c r="AB5" s="25">
        <f t="shared" si="10"/>
        <v>882.09681219596882</v>
      </c>
      <c r="AC5" s="49">
        <v>1490.3923313574744</v>
      </c>
      <c r="AD5" s="41">
        <f>+resteconomy!AD5+resteconomy!V5/1000</f>
        <v>127.9305066899081</v>
      </c>
      <c r="AE5" s="24">
        <f t="shared" si="11"/>
        <v>0.19104819534894832</v>
      </c>
      <c r="AF5" s="24">
        <f>+resteconomy!AD5/E5</f>
        <v>0.10578975567218556</v>
      </c>
      <c r="AG5" s="24">
        <f t="shared" si="12"/>
        <v>8.5258439676762762E-2</v>
      </c>
    </row>
    <row r="6" spans="1:33" x14ac:dyDescent="0.2">
      <c r="A6">
        <f t="shared" si="13"/>
        <v>1704</v>
      </c>
      <c r="B6" s="25">
        <f>+'Agricultural production'!AJ7</f>
        <v>327.33873521734301</v>
      </c>
      <c r="C6" s="25">
        <f>+'incomeVOC and total income'!U6</f>
        <v>126.78970120825964</v>
      </c>
      <c r="D6" s="25">
        <f>+resteconomy!Q6/1000</f>
        <v>163.07970047867241</v>
      </c>
      <c r="E6" s="25">
        <f t="shared" si="0"/>
        <v>617.20813690427508</v>
      </c>
      <c r="F6" s="25"/>
      <c r="G6" s="25">
        <f t="shared" si="1"/>
        <v>121.28981117046443</v>
      </c>
      <c r="H6" s="25">
        <f>+Population!X7/38.04</f>
        <v>117.29915878023132</v>
      </c>
      <c r="I6" s="25">
        <f>1000*E6/Population!X7</f>
        <v>138.32358527323146</v>
      </c>
      <c r="J6" s="41">
        <f>+'incomeVOC and total income'!G6/7.69</f>
        <v>21.762342423619057</v>
      </c>
      <c r="K6" s="25">
        <f t="shared" si="2"/>
        <v>97.528581733101859</v>
      </c>
      <c r="L6" s="25">
        <f>+(J6*100/22.31381)*0.53+0.47*'Agricultural production'!AS7/0.93226</f>
        <v>99.778540461635998</v>
      </c>
      <c r="M6" s="25">
        <f t="shared" si="3"/>
        <v>138.63059595105594</v>
      </c>
      <c r="N6" s="25">
        <f>+M6/(Population!O7/Population!X7)</f>
        <v>74.985276006692487</v>
      </c>
      <c r="O6" s="25"/>
      <c r="P6" s="24">
        <f t="shared" si="4"/>
        <v>0.53035388816999851</v>
      </c>
      <c r="Q6" s="24">
        <f t="shared" si="5"/>
        <v>0.20542454583343234</v>
      </c>
      <c r="R6" s="24">
        <f t="shared" si="6"/>
        <v>0.26422156599656915</v>
      </c>
      <c r="S6" s="25"/>
      <c r="T6" s="25">
        <f>((1000*E6)-J6*(Population!W7+Population!R7))/Population!T7</f>
        <v>244.2759298581795</v>
      </c>
      <c r="U6" s="25">
        <f t="shared" si="7"/>
        <v>244.81810289869043</v>
      </c>
      <c r="W6" s="24">
        <v>1.1183715589748395</v>
      </c>
      <c r="X6" s="47">
        <v>176.73293544546308</v>
      </c>
      <c r="Y6" s="48">
        <v>2232.0987514186372</v>
      </c>
      <c r="Z6" s="25">
        <f t="shared" si="8"/>
        <v>1463.4424919231694</v>
      </c>
      <c r="AA6" s="25">
        <f t="shared" si="9"/>
        <v>2584.40218132261</v>
      </c>
      <c r="AB6" s="25">
        <f t="shared" si="10"/>
        <v>791.57590302449285</v>
      </c>
      <c r="AC6" s="49">
        <v>1695.7936884283295</v>
      </c>
      <c r="AD6" s="41">
        <f>+resteconomy!AD6+resteconomy!V6/1000</f>
        <v>69.921359447894346</v>
      </c>
      <c r="AE6" s="24">
        <f t="shared" si="11"/>
        <v>0.11328651595327022</v>
      </c>
      <c r="AF6" s="24">
        <f>+resteconomy!AD6/E6</f>
        <v>2.1143773544689919E-2</v>
      </c>
      <c r="AG6" s="24">
        <f t="shared" si="12"/>
        <v>9.2142742408580294E-2</v>
      </c>
    </row>
    <row r="7" spans="1:33" x14ac:dyDescent="0.2">
      <c r="A7">
        <f t="shared" si="13"/>
        <v>1705</v>
      </c>
      <c r="B7" s="25">
        <f>+'Agricultural production'!AJ8</f>
        <v>338.65866066568265</v>
      </c>
      <c r="C7" s="25">
        <f>+'incomeVOC and total income'!U7</f>
        <v>121.30294060186657</v>
      </c>
      <c r="D7" s="25">
        <f>+resteconomy!Q7/1000</f>
        <v>167.00447587534202</v>
      </c>
      <c r="E7" s="25">
        <f t="shared" si="0"/>
        <v>626.96607714289121</v>
      </c>
      <c r="F7" s="25"/>
      <c r="G7" s="25">
        <f t="shared" si="1"/>
        <v>122.78014274769512</v>
      </c>
      <c r="H7" s="25">
        <f>+Population!X8/38.04</f>
        <v>123.11461619348054</v>
      </c>
      <c r="I7" s="25">
        <f>1000*E7/Population!X8</f>
        <v>133.87328477966111</v>
      </c>
      <c r="J7" s="41">
        <f>+'incomeVOC and total income'!G7/7.69</f>
        <v>21.746983815203038</v>
      </c>
      <c r="K7" s="25">
        <f t="shared" si="2"/>
        <v>97.45975167487326</v>
      </c>
      <c r="L7" s="25">
        <f>+(J7*100/22.31381)*0.53+0.47*'Agricultural production'!AS8/0.93226</f>
        <v>100.12573872193715</v>
      </c>
      <c r="M7" s="25">
        <f t="shared" si="3"/>
        <v>133.70516561325505</v>
      </c>
      <c r="N7" s="25">
        <f>+M7/(Population!O8/Population!X8)</f>
        <v>73.038408638612651</v>
      </c>
      <c r="O7" s="25"/>
      <c r="P7" s="24">
        <f t="shared" si="4"/>
        <v>0.5401546798336575</v>
      </c>
      <c r="Q7" s="24">
        <f t="shared" si="5"/>
        <v>0.1934760827167058</v>
      </c>
      <c r="R7" s="24">
        <f t="shared" si="6"/>
        <v>0.2663692374496367</v>
      </c>
      <c r="S7" s="25"/>
      <c r="T7" s="25">
        <f>((1000*E7)-J7*(Population!W8+Population!R8))/Population!T8</f>
        <v>238.29084475575033</v>
      </c>
      <c r="U7" s="25">
        <f t="shared" si="7"/>
        <v>237.99159716315955</v>
      </c>
      <c r="W7" s="24">
        <v>1.0248779630804787</v>
      </c>
      <c r="X7" s="47">
        <v>209.30873691972982</v>
      </c>
      <c r="Y7" s="48">
        <v>2633.6715117654189</v>
      </c>
      <c r="Z7" s="25">
        <f t="shared" si="8"/>
        <v>1411.4475913898832</v>
      </c>
      <c r="AA7" s="25">
        <f t="shared" si="9"/>
        <v>2512.3387346051186</v>
      </c>
      <c r="AB7" s="25">
        <f t="shared" si="10"/>
        <v>771.02395766899156</v>
      </c>
      <c r="AC7" s="49">
        <v>1642.701477324782</v>
      </c>
      <c r="AD7" s="41">
        <f>+resteconomy!AD7+resteconomy!V7/1000</f>
        <v>81.385513723622637</v>
      </c>
      <c r="AE7" s="24">
        <f t="shared" si="11"/>
        <v>0.12980848037983106</v>
      </c>
      <c r="AF7" s="24">
        <f>+resteconomy!AD7/E7</f>
        <v>3.9748789451849807E-2</v>
      </c>
      <c r="AG7" s="24">
        <f t="shared" si="12"/>
        <v>9.0059690927981245E-2</v>
      </c>
    </row>
    <row r="8" spans="1:33" x14ac:dyDescent="0.2">
      <c r="A8">
        <f t="shared" si="13"/>
        <v>1706</v>
      </c>
      <c r="B8" s="25">
        <f>+'Agricultural production'!AJ9</f>
        <v>589.52933316852148</v>
      </c>
      <c r="C8" s="25">
        <f>+'incomeVOC and total income'!U8</f>
        <v>120.30864529730431</v>
      </c>
      <c r="D8" s="25">
        <f>+resteconomy!Q8/1000</f>
        <v>168.8900369440706</v>
      </c>
      <c r="E8" s="25">
        <f t="shared" si="0"/>
        <v>878.72801540989644</v>
      </c>
      <c r="F8" s="25"/>
      <c r="G8" s="25">
        <f t="shared" si="1"/>
        <v>156.02159082242184</v>
      </c>
      <c r="H8" s="25">
        <f>+Population!X9/38.04</f>
        <v>123.78999980599177</v>
      </c>
      <c r="I8" s="25">
        <f>1000*E8/Population!X9</f>
        <v>186.60720247008314</v>
      </c>
      <c r="J8" s="41">
        <f>+'incomeVOC and total income'!G8/7.69</f>
        <v>21.257334236932646</v>
      </c>
      <c r="K8" s="25">
        <f t="shared" si="2"/>
        <v>95.265372596309845</v>
      </c>
      <c r="L8" s="25">
        <f>+(J8*100/22.31381)*0.53+0.47*'Agricultural production'!AS9/0.93226</f>
        <v>110.43318425126867</v>
      </c>
      <c r="M8" s="25">
        <f t="shared" si="3"/>
        <v>168.9774715229579</v>
      </c>
      <c r="N8" s="25">
        <f>+M8/(Population!O9/Population!X9)</f>
        <v>91.627195538841889</v>
      </c>
      <c r="O8" s="25"/>
      <c r="P8" s="24">
        <f t="shared" si="4"/>
        <v>0.67088942520345873</v>
      </c>
      <c r="Q8" s="24">
        <f t="shared" si="5"/>
        <v>0.13691226771822504</v>
      </c>
      <c r="R8" s="24">
        <f t="shared" si="6"/>
        <v>0.19219830707831614</v>
      </c>
      <c r="S8" s="25"/>
      <c r="T8" s="25">
        <f>((1000*E8)-J8*(Population!W9+Population!R9))/Population!T9</f>
        <v>349.9182584404947</v>
      </c>
      <c r="U8" s="25">
        <f t="shared" si="7"/>
        <v>316.85970192105077</v>
      </c>
      <c r="W8" s="24">
        <v>0.99290126180580396</v>
      </c>
      <c r="X8" s="47">
        <v>185.42390922399633</v>
      </c>
      <c r="Y8" s="48">
        <v>2439.5232014490261</v>
      </c>
      <c r="Z8" s="25">
        <f t="shared" si="8"/>
        <v>1783.7967896476484</v>
      </c>
      <c r="AA8" s="25">
        <f t="shared" si="9"/>
        <v>3344.9034002067501</v>
      </c>
      <c r="AB8" s="25">
        <f t="shared" si="10"/>
        <v>967.25495874399655</v>
      </c>
      <c r="AC8" s="49">
        <v>1415.0348873443234</v>
      </c>
      <c r="AD8" s="41">
        <f>+resteconomy!AD8+resteconomy!V8/1000</f>
        <v>187.54772386411645</v>
      </c>
      <c r="AE8" s="24">
        <f t="shared" si="11"/>
        <v>0.21343091442991252</v>
      </c>
      <c r="AF8" s="24">
        <f>+resteconomy!AD8/E8</f>
        <v>0.15791413607414223</v>
      </c>
      <c r="AG8" s="24">
        <f t="shared" si="12"/>
        <v>5.5516778355770291E-2</v>
      </c>
    </row>
    <row r="9" spans="1:33" x14ac:dyDescent="0.2">
      <c r="A9">
        <f t="shared" si="13"/>
        <v>1707</v>
      </c>
      <c r="B9" s="25">
        <f>+'Agricultural production'!AJ10</f>
        <v>570.89929160200904</v>
      </c>
      <c r="C9" s="25">
        <f>+'incomeVOC and total income'!U9</f>
        <v>120.73145357694861</v>
      </c>
      <c r="D9" s="25">
        <f>+resteconomy!Q9/1000</f>
        <v>180.11073418491671</v>
      </c>
      <c r="E9" s="25">
        <f t="shared" si="0"/>
        <v>871.7414793638743</v>
      </c>
      <c r="F9" s="25"/>
      <c r="G9" s="25">
        <f t="shared" si="1"/>
        <v>163.16536695395681</v>
      </c>
      <c r="H9" s="25">
        <f>+Population!X10/38.04</f>
        <v>117.02845229268861</v>
      </c>
      <c r="I9" s="25">
        <f>1000*E9/Population!X10</f>
        <v>195.81941165783002</v>
      </c>
      <c r="J9" s="41">
        <f>+'incomeVOC and total income'!G9/7.69</f>
        <v>21.296001369358795</v>
      </c>
      <c r="K9" s="25">
        <f t="shared" si="2"/>
        <v>95.438660494818208</v>
      </c>
      <c r="L9" s="25">
        <f>+(J9*100/22.31381)*0.53+0.47*'Agricultural production'!AS10/0.93226</f>
        <v>104.75856796515401</v>
      </c>
      <c r="M9" s="25">
        <f t="shared" si="3"/>
        <v>186.92448308663947</v>
      </c>
      <c r="N9" s="25">
        <f>+M9/(Population!O10/Population!X10)</f>
        <v>107.29156592891522</v>
      </c>
      <c r="O9" s="25"/>
      <c r="P9" s="24">
        <f t="shared" si="4"/>
        <v>0.65489517834875166</v>
      </c>
      <c r="Q9" s="24">
        <f t="shared" si="5"/>
        <v>0.13849456109975236</v>
      </c>
      <c r="R9" s="24">
        <f t="shared" si="6"/>
        <v>0.20661026055149606</v>
      </c>
      <c r="S9" s="25"/>
      <c r="T9" s="25">
        <f>((1000*E9)-J9*(Population!W10+Population!R10))/Population!T10</f>
        <v>345.08408811733665</v>
      </c>
      <c r="U9" s="25">
        <f t="shared" si="7"/>
        <v>329.40893983213141</v>
      </c>
      <c r="W9" s="24">
        <v>1.0773750951082319</v>
      </c>
      <c r="X9" s="47">
        <v>192.16725319018363</v>
      </c>
      <c r="Y9" s="48">
        <v>2539.9890127179679</v>
      </c>
      <c r="Z9" s="25">
        <f t="shared" si="8"/>
        <v>1973.2529421307615</v>
      </c>
      <c r="AA9" s="25">
        <f t="shared" si="9"/>
        <v>3477.37839877642</v>
      </c>
      <c r="AB9" s="25">
        <f t="shared" si="10"/>
        <v>1132.6145972912461</v>
      </c>
      <c r="AC9" s="49">
        <v>1592.1790561265084</v>
      </c>
      <c r="AD9" s="41">
        <f>+resteconomy!AD9+resteconomy!V9/1000</f>
        <v>196.70230392229846</v>
      </c>
      <c r="AE9" s="24">
        <f t="shared" si="11"/>
        <v>0.22564293265686489</v>
      </c>
      <c r="AF9" s="24">
        <f>+resteconomy!AD9/E9</f>
        <v>0.16105505642301129</v>
      </c>
      <c r="AG9" s="24">
        <f t="shared" si="12"/>
        <v>6.4587876233853592E-2</v>
      </c>
    </row>
    <row r="10" spans="1:33" x14ac:dyDescent="0.2">
      <c r="A10">
        <f t="shared" si="13"/>
        <v>1708</v>
      </c>
      <c r="B10" s="25">
        <f>+'Agricultural production'!AJ11</f>
        <v>737.56112895052172</v>
      </c>
      <c r="C10" s="25">
        <f>+'incomeVOC and total income'!U10</f>
        <v>124.9110578297295</v>
      </c>
      <c r="D10" s="25">
        <f>+resteconomy!Q10/1000</f>
        <v>210.16993094210366</v>
      </c>
      <c r="E10" s="25">
        <f t="shared" si="0"/>
        <v>1072.6421177223549</v>
      </c>
      <c r="F10" s="25"/>
      <c r="G10" s="25">
        <f t="shared" si="1"/>
        <v>194.01549672493553</v>
      </c>
      <c r="H10" s="25">
        <f>+Population!X11/38.04</f>
        <v>130.00897262235532</v>
      </c>
      <c r="I10" s="25">
        <f>1000*E10/Population!X11</f>
        <v>216.8907402912757</v>
      </c>
      <c r="J10" s="41">
        <f>+'incomeVOC and total income'!G10/7.69</f>
        <v>21.255546236364509</v>
      </c>
      <c r="K10" s="25">
        <f t="shared" si="2"/>
        <v>95.257359618839217</v>
      </c>
      <c r="L10" s="25">
        <f>+(J10*100/22.31381)*0.53+0.47*'Agricultural production'!AS11/0.93226</f>
        <v>108.40473437300287</v>
      </c>
      <c r="M10" s="25">
        <f t="shared" si="3"/>
        <v>200.07497047591141</v>
      </c>
      <c r="N10" s="25">
        <f>+M10/(Population!O11/Population!X11)</f>
        <v>110.5779791456916</v>
      </c>
      <c r="O10" s="25"/>
      <c r="P10" s="24">
        <f t="shared" si="4"/>
        <v>0.68761156844806437</v>
      </c>
      <c r="Q10" s="24">
        <f t="shared" si="5"/>
        <v>0.11645175568433325</v>
      </c>
      <c r="R10" s="24">
        <f t="shared" si="6"/>
        <v>0.19593667586760238</v>
      </c>
      <c r="S10" s="25"/>
      <c r="T10" s="25">
        <f>((1000*E10)-J10*(Population!W11+Population!R11))/Population!T11</f>
        <v>421.5606434402589</v>
      </c>
      <c r="U10" s="25">
        <f t="shared" si="7"/>
        <v>388.87659831325999</v>
      </c>
      <c r="W10" s="24">
        <v>1.0580643649124932</v>
      </c>
      <c r="X10" s="47">
        <v>183.06384813975731</v>
      </c>
      <c r="Y10" s="48">
        <v>2418.634464984425</v>
      </c>
      <c r="Z10" s="25">
        <f t="shared" si="8"/>
        <v>2112.0749813994585</v>
      </c>
      <c r="AA10" s="25">
        <f t="shared" si="9"/>
        <v>4105.1438478060427</v>
      </c>
      <c r="AB10" s="25">
        <f t="shared" si="10"/>
        <v>1167.3073482994471</v>
      </c>
      <c r="AC10" s="49">
        <v>1645.7223430620907</v>
      </c>
      <c r="AD10" s="41">
        <f>+resteconomy!AD10+resteconomy!V10/1000</f>
        <v>285.6651602357573</v>
      </c>
      <c r="AE10" s="24">
        <f t="shared" si="11"/>
        <v>0.26631917161927021</v>
      </c>
      <c r="AF10" s="24">
        <f>+resteconomy!AD10/E10</f>
        <v>0.20074565058456775</v>
      </c>
      <c r="AG10" s="24">
        <f t="shared" si="12"/>
        <v>6.5573521034702459E-2</v>
      </c>
    </row>
    <row r="11" spans="1:33" x14ac:dyDescent="0.2">
      <c r="A11">
        <f t="shared" si="13"/>
        <v>1709</v>
      </c>
      <c r="B11" s="25">
        <f>+'Agricultural production'!AJ12</f>
        <v>691.0024838168564</v>
      </c>
      <c r="C11" s="25">
        <f>+'incomeVOC and total income'!U11</f>
        <v>189.04811793221467</v>
      </c>
      <c r="D11" s="25">
        <f>+resteconomy!Q11/1000</f>
        <v>212.40836396446414</v>
      </c>
      <c r="E11" s="25">
        <f t="shared" si="0"/>
        <v>1092.4589657135352</v>
      </c>
      <c r="F11" s="25"/>
      <c r="G11" s="25">
        <f t="shared" si="1"/>
        <v>188.82901025133256</v>
      </c>
      <c r="H11" s="25">
        <f>+Population!X12/38.04</f>
        <v>139.2266902271941</v>
      </c>
      <c r="I11" s="25">
        <f>1000*E11/Population!X12</f>
        <v>206.2728770147765</v>
      </c>
      <c r="J11" s="41">
        <f>+'incomeVOC and total income'!G11/7.69</f>
        <v>22.028478808664456</v>
      </c>
      <c r="K11" s="25">
        <f t="shared" si="2"/>
        <v>98.721279820274773</v>
      </c>
      <c r="L11" s="25">
        <f>+(J11*100/22.31381)*0.53+0.47*'Agricultural production'!AS12/0.93226</f>
        <v>113.44000588197527</v>
      </c>
      <c r="M11" s="25">
        <f t="shared" si="3"/>
        <v>181.83433208685301</v>
      </c>
      <c r="N11" s="25">
        <f>+M11/(Population!O12/Population!X12)</f>
        <v>101.99442407285868</v>
      </c>
      <c r="O11" s="25"/>
      <c r="P11" s="24">
        <f t="shared" si="4"/>
        <v>0.63252031014778742</v>
      </c>
      <c r="Q11" s="24">
        <f t="shared" si="5"/>
        <v>0.17304825523468392</v>
      </c>
      <c r="R11" s="24">
        <f t="shared" si="6"/>
        <v>0.1944314346175286</v>
      </c>
      <c r="S11" s="25"/>
      <c r="T11" s="25">
        <f>((1000*E11)-J11*(Population!W12+Population!R12))/Population!T12</f>
        <v>379.34587334840506</v>
      </c>
      <c r="U11" s="25">
        <f t="shared" si="7"/>
        <v>334.40219823602825</v>
      </c>
      <c r="W11" s="24">
        <v>0.81391802264654933</v>
      </c>
      <c r="X11" s="47">
        <v>228.37951836602747</v>
      </c>
      <c r="Y11" s="48">
        <v>2575.53704282336</v>
      </c>
      <c r="Z11" s="25">
        <f t="shared" si="8"/>
        <v>1919.5191814678367</v>
      </c>
      <c r="AA11" s="25">
        <f t="shared" si="9"/>
        <v>3530.0893207145687</v>
      </c>
      <c r="AB11" s="25">
        <f t="shared" si="10"/>
        <v>1076.6957546669614</v>
      </c>
      <c r="AC11" s="49">
        <v>1490.8933438884842</v>
      </c>
      <c r="AD11" s="41">
        <f>+resteconomy!AD11+resteconomy!V11/1000</f>
        <v>185.22025655299555</v>
      </c>
      <c r="AE11" s="24">
        <f t="shared" si="11"/>
        <v>0.16954436035226245</v>
      </c>
      <c r="AF11" s="24">
        <f>+resteconomy!AD11/E11</f>
        <v>0.11142600202709384</v>
      </c>
      <c r="AG11" s="24">
        <f t="shared" si="12"/>
        <v>5.8118358325168609E-2</v>
      </c>
    </row>
    <row r="12" spans="1:33" x14ac:dyDescent="0.2">
      <c r="A12">
        <f t="shared" si="13"/>
        <v>1710</v>
      </c>
      <c r="B12" s="25">
        <f>+'Agricultural production'!AJ13</f>
        <v>809.22905499436206</v>
      </c>
      <c r="C12" s="25">
        <f>+'incomeVOC and total income'!U12</f>
        <v>201.24032178136744</v>
      </c>
      <c r="D12" s="25">
        <f>+resteconomy!Q12/1000</f>
        <v>162.22798783646334</v>
      </c>
      <c r="E12" s="25">
        <f t="shared" si="0"/>
        <v>1172.6973646121928</v>
      </c>
      <c r="F12" s="25"/>
      <c r="G12" s="25">
        <f t="shared" si="1"/>
        <v>182.33650104363574</v>
      </c>
      <c r="H12" s="25">
        <f>+Population!X13/38.04</f>
        <v>140.86863595775952</v>
      </c>
      <c r="I12" s="25">
        <f>1000*E12/Population!X13</f>
        <v>218.84223000241258</v>
      </c>
      <c r="J12" s="41">
        <f>+'incomeVOC and total income'!G12/7.69</f>
        <v>23.670745882958961</v>
      </c>
      <c r="K12" s="25">
        <f t="shared" si="2"/>
        <v>106.0811483245531</v>
      </c>
      <c r="L12" s="25">
        <f>+(J12*100/22.31381)*0.53+0.47*'Agricultural production'!AS13/0.93226</f>
        <v>126.10786014416985</v>
      </c>
      <c r="M12" s="25">
        <f t="shared" si="3"/>
        <v>173.5357572099204</v>
      </c>
      <c r="N12" s="25">
        <f>+M12/(Population!O13/Population!X13)</f>
        <v>98.569812656926572</v>
      </c>
      <c r="O12" s="25"/>
      <c r="P12" s="24">
        <f t="shared" si="4"/>
        <v>0.69005787802889063</v>
      </c>
      <c r="Q12" s="24">
        <f t="shared" si="5"/>
        <v>0.17160465082815032</v>
      </c>
      <c r="R12" s="24">
        <f t="shared" si="6"/>
        <v>0.13833747114295905</v>
      </c>
      <c r="S12" s="25"/>
      <c r="T12" s="25">
        <f>((1000*E12)-J12*(Population!W13+Population!R13))/Population!T13</f>
        <v>398.90240946052569</v>
      </c>
      <c r="U12" s="25">
        <f t="shared" si="7"/>
        <v>316.31843487352006</v>
      </c>
      <c r="W12" s="24">
        <v>0.94593115558816232</v>
      </c>
      <c r="X12" s="47">
        <v>232.67042184689129</v>
      </c>
      <c r="Y12" s="48">
        <v>2632.0901717440729</v>
      </c>
      <c r="Z12" s="25">
        <f t="shared" si="8"/>
        <v>1831.9159578504696</v>
      </c>
      <c r="AA12" s="25">
        <f t="shared" si="9"/>
        <v>3339.1895591069556</v>
      </c>
      <c r="AB12" s="25">
        <f t="shared" si="10"/>
        <v>1040.5441257280686</v>
      </c>
      <c r="AC12" s="49">
        <v>1352.6651642296836</v>
      </c>
      <c r="AD12" s="41">
        <f>+resteconomy!AD12+resteconomy!V12/1000</f>
        <v>137.81607123116117</v>
      </c>
      <c r="AE12" s="24">
        <f t="shared" si="11"/>
        <v>0.11752057725203169</v>
      </c>
      <c r="AF12" s="24">
        <f>+resteconomy!AD12/E12</f>
        <v>7.2769285983965495E-2</v>
      </c>
      <c r="AG12" s="24">
        <f t="shared" si="12"/>
        <v>4.4751291268066193E-2</v>
      </c>
    </row>
    <row r="13" spans="1:33" x14ac:dyDescent="0.2">
      <c r="A13">
        <f t="shared" si="13"/>
        <v>1711</v>
      </c>
      <c r="B13" s="25">
        <f>+'Agricultural production'!AJ14</f>
        <v>466.87719816976954</v>
      </c>
      <c r="C13" s="25">
        <f>+'incomeVOC and total income'!U13</f>
        <v>170.01395676020462</v>
      </c>
      <c r="D13" s="25">
        <f>+resteconomy!Q13/1000</f>
        <v>154.26053893641773</v>
      </c>
      <c r="E13" s="25">
        <f t="shared" si="0"/>
        <v>791.15169386639195</v>
      </c>
      <c r="F13" s="25"/>
      <c r="G13" s="25">
        <f t="shared" si="1"/>
        <v>132.51885951345895</v>
      </c>
      <c r="H13" s="25">
        <f>+Population!X14/38.04</f>
        <v>139.18349044119395</v>
      </c>
      <c r="I13" s="25">
        <f>1000*E13/Population!X14</f>
        <v>149.42784404224477</v>
      </c>
      <c r="J13" s="41">
        <f>+'incomeVOC and total income'!G13/7.69</f>
        <v>22.402771778544988</v>
      </c>
      <c r="K13" s="25">
        <f t="shared" si="2"/>
        <v>100.39868484380295</v>
      </c>
      <c r="L13" s="25">
        <f>+(J13*100/22.31381)*0.53+0.47*'Agricultural production'!AS14/0.93226</f>
        <v>117.06091018335555</v>
      </c>
      <c r="M13" s="25">
        <f t="shared" si="3"/>
        <v>127.64965162853429</v>
      </c>
      <c r="N13" s="25">
        <f>+M13/(Population!O14/Population!X14)</f>
        <v>69.413620989181652</v>
      </c>
      <c r="O13" s="25"/>
      <c r="P13" s="24">
        <f t="shared" si="4"/>
        <v>0.59012348932493697</v>
      </c>
      <c r="Q13" s="24">
        <f t="shared" si="5"/>
        <v>0.214894258684247</v>
      </c>
      <c r="R13" s="24">
        <f t="shared" si="6"/>
        <v>0.19498225199081598</v>
      </c>
      <c r="S13" s="25"/>
      <c r="T13" s="25">
        <f>((1000*E13)-J13*(Population!W14+Population!R14))/Population!T14</f>
        <v>266.7226500337847</v>
      </c>
      <c r="U13" s="25">
        <f t="shared" si="7"/>
        <v>227.8494585562423</v>
      </c>
      <c r="W13" s="24">
        <v>0.92970984499338338</v>
      </c>
      <c r="X13" s="47">
        <v>201.2980450623028</v>
      </c>
      <c r="Y13" s="48">
        <v>2466.9550763127772</v>
      </c>
      <c r="Z13" s="25">
        <f t="shared" si="8"/>
        <v>1347.5230557209745</v>
      </c>
      <c r="AA13" s="25">
        <f t="shared" si="9"/>
        <v>2405.2740819971373</v>
      </c>
      <c r="AB13" s="25">
        <f t="shared" si="10"/>
        <v>732.75918477391974</v>
      </c>
      <c r="AC13" s="49">
        <v>1470.3741217182089</v>
      </c>
      <c r="AD13" s="41">
        <f>+resteconomy!AD13+resteconomy!V13/1000</f>
        <v>-51.237335911354457</v>
      </c>
      <c r="AE13" s="24">
        <f t="shared" si="11"/>
        <v>-6.4762973154940007E-2</v>
      </c>
      <c r="AF13" s="24">
        <f>+resteconomy!AD13/E13</f>
        <v>-0.13780270612419493</v>
      </c>
      <c r="AG13" s="24">
        <f t="shared" si="12"/>
        <v>7.3039732969254922E-2</v>
      </c>
    </row>
    <row r="14" spans="1:33" x14ac:dyDescent="0.2">
      <c r="A14">
        <f t="shared" si="13"/>
        <v>1712</v>
      </c>
      <c r="B14" s="25">
        <f>+'Agricultural production'!AJ15</f>
        <v>452.56912169981996</v>
      </c>
      <c r="C14" s="25">
        <f>+'incomeVOC and total income'!U14</f>
        <v>162.30212873920291</v>
      </c>
      <c r="D14" s="25">
        <f>+resteconomy!Q14/1000</f>
        <v>160.08618400716864</v>
      </c>
      <c r="E14" s="25">
        <f t="shared" si="0"/>
        <v>774.95743444619143</v>
      </c>
      <c r="F14" s="25"/>
      <c r="G14" s="25">
        <f t="shared" si="1"/>
        <v>121.26839316876371</v>
      </c>
      <c r="H14" s="25">
        <f>+Population!X15/38.04</f>
        <v>149.12796729707662</v>
      </c>
      <c r="I14" s="25">
        <f>1000*E14/Population!X15</f>
        <v>136.60866350756436</v>
      </c>
      <c r="J14" s="41">
        <f>+'incomeVOC and total income'!G14/7.69</f>
        <v>23.518013028518652</v>
      </c>
      <c r="K14" s="25">
        <f t="shared" si="2"/>
        <v>105.3966715165122</v>
      </c>
      <c r="L14" s="25">
        <f>+(J14*100/22.31381)*0.53+0.47*'Agricultural production'!AS15/0.93226</f>
        <v>125.30259052351664</v>
      </c>
      <c r="M14" s="25">
        <f t="shared" si="3"/>
        <v>109.02301615378479</v>
      </c>
      <c r="N14" s="25">
        <f>+M14/(Population!O15/Population!X15)</f>
        <v>58.882088833834153</v>
      </c>
      <c r="O14" s="25"/>
      <c r="P14" s="24">
        <f t="shared" si="4"/>
        <v>0.58399223180978943</v>
      </c>
      <c r="Q14" s="24">
        <f t="shared" si="5"/>
        <v>0.20943360438265754</v>
      </c>
      <c r="R14" s="24">
        <f t="shared" si="6"/>
        <v>0.20657416380755309</v>
      </c>
      <c r="S14" s="25"/>
      <c r="T14" s="25">
        <f>((1000*E14)-J14*(Population!W15+Population!R15))/Population!T15</f>
        <v>252.01667913215928</v>
      </c>
      <c r="U14" s="25">
        <f t="shared" si="7"/>
        <v>201.12647159107306</v>
      </c>
      <c r="W14" s="24">
        <v>0.96017238717989684</v>
      </c>
      <c r="X14" s="47">
        <v>208.70475404802511</v>
      </c>
      <c r="Y14" s="48">
        <v>2533.8693720817951</v>
      </c>
      <c r="Z14" s="25">
        <f t="shared" si="8"/>
        <v>1150.8925092798713</v>
      </c>
      <c r="AA14" s="25">
        <f t="shared" si="9"/>
        <v>2123.1750664973792</v>
      </c>
      <c r="AB14" s="25">
        <f t="shared" si="10"/>
        <v>621.58393117671153</v>
      </c>
      <c r="AC14" s="49">
        <v>1498.5935592499798</v>
      </c>
      <c r="AD14" s="41">
        <f>+resteconomy!AD14+resteconomy!V14/1000</f>
        <v>-115.7015084486672</v>
      </c>
      <c r="AE14" s="24">
        <f t="shared" si="11"/>
        <v>-0.14930046903976227</v>
      </c>
      <c r="AF14" s="24">
        <f>+resteconomy!AD14/E14</f>
        <v>-0.21790546238144209</v>
      </c>
      <c r="AG14" s="24">
        <f t="shared" si="12"/>
        <v>6.8604993341679826E-2</v>
      </c>
    </row>
    <row r="15" spans="1:33" x14ac:dyDescent="0.2">
      <c r="A15">
        <f t="shared" si="13"/>
        <v>1713</v>
      </c>
      <c r="B15" s="25">
        <f>+'Agricultural production'!AJ16</f>
        <v>472.7239702091922</v>
      </c>
      <c r="C15" s="25">
        <f>+'incomeVOC and total income'!U15</f>
        <v>172.67700801073869</v>
      </c>
      <c r="D15" s="25">
        <f>+resteconomy!Q15/1000</f>
        <v>163.79358024504492</v>
      </c>
      <c r="E15" s="25">
        <f t="shared" si="0"/>
        <v>809.19455846497578</v>
      </c>
      <c r="F15" s="25"/>
      <c r="G15" s="25">
        <f t="shared" si="1"/>
        <v>128.11748801559273</v>
      </c>
      <c r="H15" s="25">
        <f>+Population!X16/38.04</f>
        <v>140.20242103008511</v>
      </c>
      <c r="I15" s="25">
        <f>1000*E15/Population!X16</f>
        <v>151.72492526235993</v>
      </c>
      <c r="J15" s="41">
        <f>+'incomeVOC and total income'!G15/7.69</f>
        <v>24.030727288954797</v>
      </c>
      <c r="K15" s="25">
        <f t="shared" si="2"/>
        <v>107.69441565091213</v>
      </c>
      <c r="L15" s="25">
        <f>+(J15*100/22.31381)*0.53+0.47*'Agricultural production'!AS16/0.93226</f>
        <v>123.84382659743083</v>
      </c>
      <c r="M15" s="25">
        <f t="shared" si="3"/>
        <v>122.51311141697838</v>
      </c>
      <c r="N15" s="25">
        <f>+M15/(Population!O16/Population!X16)</f>
        <v>65.950577266387526</v>
      </c>
      <c r="O15" s="25"/>
      <c r="P15" s="24">
        <f t="shared" si="4"/>
        <v>0.58419074283685146</v>
      </c>
      <c r="Q15" s="24">
        <f t="shared" si="5"/>
        <v>0.21339368413240836</v>
      </c>
      <c r="R15" s="24">
        <f t="shared" si="6"/>
        <v>0.20241557303074026</v>
      </c>
      <c r="S15" s="25"/>
      <c r="T15" s="25">
        <f>((1000*E15)-J15*(Population!W16+Population!R16))/Population!T16</f>
        <v>267.55543440542476</v>
      </c>
      <c r="U15" s="25">
        <f t="shared" si="7"/>
        <v>216.0426092736505</v>
      </c>
      <c r="W15" s="24">
        <v>0.95198421339661632</v>
      </c>
      <c r="X15" s="47">
        <v>215.80396093570727</v>
      </c>
      <c r="Y15" s="48">
        <v>2652.7326705881201</v>
      </c>
      <c r="Z15" s="25">
        <f t="shared" si="8"/>
        <v>1293.2995911567966</v>
      </c>
      <c r="AA15" s="25">
        <f t="shared" si="9"/>
        <v>2280.6360479661953</v>
      </c>
      <c r="AB15" s="25">
        <f t="shared" si="10"/>
        <v>696.20184834644022</v>
      </c>
      <c r="AC15" s="49">
        <v>1420.597999184745</v>
      </c>
      <c r="AD15" s="41">
        <f>+resteconomy!AD15+resteconomy!V15/1000</f>
        <v>-145.25283916108401</v>
      </c>
      <c r="AE15" s="24">
        <f t="shared" si="11"/>
        <v>-0.17950298558189201</v>
      </c>
      <c r="AF15" s="24">
        <f>+resteconomy!AD15/E15</f>
        <v>-0.23303160767042821</v>
      </c>
      <c r="AG15" s="24">
        <f t="shared" si="12"/>
        <v>5.3528622088536204E-2</v>
      </c>
    </row>
    <row r="16" spans="1:33" x14ac:dyDescent="0.2">
      <c r="A16">
        <f t="shared" si="13"/>
        <v>1714</v>
      </c>
      <c r="B16" s="25">
        <f>+'Agricultural production'!AJ17</f>
        <v>486.43102018595772</v>
      </c>
      <c r="C16" s="25">
        <f>+'incomeVOC and total income'!U16</f>
        <v>167.13669588804612</v>
      </c>
      <c r="D16" s="25">
        <f>+resteconomy!Q16/1000</f>
        <v>234.81535890169206</v>
      </c>
      <c r="E16" s="25">
        <f t="shared" si="0"/>
        <v>888.38307497569599</v>
      </c>
      <c r="F16" s="25"/>
      <c r="G16" s="25">
        <f t="shared" si="1"/>
        <v>140.40378926652031</v>
      </c>
      <c r="H16" s="25">
        <f>+Population!X17/38.04</f>
        <v>136.87393704136144</v>
      </c>
      <c r="I16" s="25">
        <f>1000*E16/Population!X17</f>
        <v>170.62356358946943</v>
      </c>
      <c r="J16" s="41">
        <f>+'incomeVOC and total income'!G16/7.69</f>
        <v>25.08420162867732</v>
      </c>
      <c r="K16" s="25">
        <f t="shared" si="2"/>
        <v>112.41559208704081</v>
      </c>
      <c r="L16" s="25">
        <f>+(J16*100/22.31381)*0.53+0.47*'Agricultural production'!AS17/0.93226</f>
        <v>124.06556882057944</v>
      </c>
      <c r="M16" s="25">
        <f t="shared" si="3"/>
        <v>137.52692645630069</v>
      </c>
      <c r="N16" s="25">
        <f>+M16/(Population!O17/Population!X17)</f>
        <v>70.694771185045013</v>
      </c>
      <c r="O16" s="25"/>
      <c r="P16" s="24">
        <f t="shared" si="4"/>
        <v>0.54754647391190481</v>
      </c>
      <c r="Q16" s="24">
        <f t="shared" si="5"/>
        <v>0.18813583981506915</v>
      </c>
      <c r="R16" s="24">
        <f t="shared" si="6"/>
        <v>0.26431768627302593</v>
      </c>
      <c r="S16" s="25"/>
      <c r="T16" s="25">
        <f>((1000*E16)-J16*(Population!W17+Population!R17))/Population!T17</f>
        <v>329.11161295227339</v>
      </c>
      <c r="U16" s="25">
        <f t="shared" si="7"/>
        <v>265.2723201779105</v>
      </c>
      <c r="W16" s="24">
        <v>0.97277565908621955</v>
      </c>
      <c r="X16" s="47">
        <v>218.94207785262969</v>
      </c>
      <c r="Y16" s="48">
        <v>2597.3661610376944</v>
      </c>
      <c r="Z16" s="25">
        <f t="shared" si="8"/>
        <v>1451.7916956138579</v>
      </c>
      <c r="AA16" s="25">
        <f t="shared" si="9"/>
        <v>2800.3254448712137</v>
      </c>
      <c r="AB16" s="25">
        <f t="shared" si="10"/>
        <v>746.28354151710266</v>
      </c>
      <c r="AC16" s="49">
        <v>1548.7150742608815</v>
      </c>
      <c r="AD16" s="41">
        <f>+resteconomy!AD16+resteconomy!V16/1000</f>
        <v>-4.8669504918241699</v>
      </c>
      <c r="AE16" s="24">
        <f t="shared" si="11"/>
        <v>-5.4784367565279407E-3</v>
      </c>
      <c r="AF16" s="24">
        <f>+resteconomy!AD16/E16</f>
        <v>-0.13692490916240482</v>
      </c>
      <c r="AG16" s="24">
        <f t="shared" si="12"/>
        <v>0.13144647240587687</v>
      </c>
    </row>
    <row r="17" spans="1:33" x14ac:dyDescent="0.2">
      <c r="A17">
        <f t="shared" si="13"/>
        <v>1715</v>
      </c>
      <c r="B17" s="25">
        <f>+'Agricultural production'!AJ18</f>
        <v>452.64918073871644</v>
      </c>
      <c r="C17" s="25">
        <f>+'incomeVOC and total income'!U17</f>
        <v>179.88310554569725</v>
      </c>
      <c r="D17" s="25">
        <f>+resteconomy!Q17/1000</f>
        <v>213.88157825099566</v>
      </c>
      <c r="E17" s="25">
        <f t="shared" si="0"/>
        <v>846.4138645354094</v>
      </c>
      <c r="F17" s="25"/>
      <c r="G17" s="25">
        <f t="shared" si="1"/>
        <v>153.36696997909476</v>
      </c>
      <c r="H17" s="25">
        <f>+Population!X18/38.04</f>
        <v>151.50515618122915</v>
      </c>
      <c r="I17" s="25">
        <f>1000*E17/Population!X18</f>
        <v>146.86382902441539</v>
      </c>
      <c r="J17" s="41">
        <f>+'incomeVOC and total income'!G17/7.69</f>
        <v>21.014886750972018</v>
      </c>
      <c r="K17" s="25">
        <f t="shared" si="2"/>
        <v>94.178837011572725</v>
      </c>
      <c r="L17" s="25">
        <f>+(J17*100/22.31381)*0.53+0.47*'Agricultural production'!AS18/0.93226</f>
        <v>108.21332838009549</v>
      </c>
      <c r="M17" s="25">
        <f t="shared" si="3"/>
        <v>135.71695023422751</v>
      </c>
      <c r="N17" s="25">
        <f>+M17/(Population!O18/Population!X18)</f>
        <v>67.534152257556357</v>
      </c>
      <c r="O17" s="25"/>
      <c r="P17" s="24">
        <f t="shared" si="4"/>
        <v>0.53478469541277229</v>
      </c>
      <c r="Q17" s="24">
        <f t="shared" si="5"/>
        <v>0.21252381734606132</v>
      </c>
      <c r="R17" s="24">
        <f t="shared" si="6"/>
        <v>0.2526914872411663</v>
      </c>
      <c r="S17" s="25"/>
      <c r="T17" s="25">
        <f>((1000*E17)-J17*(Population!W18+Population!R18))/Population!T18</f>
        <v>300.93923030271509</v>
      </c>
      <c r="U17" s="25">
        <f t="shared" si="7"/>
        <v>278.09811860298453</v>
      </c>
      <c r="W17" s="24">
        <v>1.034737226805273</v>
      </c>
      <c r="X17" s="47">
        <v>197.82925448922859</v>
      </c>
      <c r="Y17" s="48">
        <v>2365.0968395786799</v>
      </c>
      <c r="Z17" s="25">
        <f t="shared" si="8"/>
        <v>1432.6848303899096</v>
      </c>
      <c r="AA17" s="25">
        <f t="shared" si="9"/>
        <v>2935.7199317759755</v>
      </c>
      <c r="AB17" s="25">
        <f t="shared" si="10"/>
        <v>712.9187275845668</v>
      </c>
      <c r="AC17" s="49">
        <v>1484.2880960259849</v>
      </c>
      <c r="AD17" s="41">
        <f>+resteconomy!AD17+resteconomy!V17/1000</f>
        <v>-7.2385682604543149</v>
      </c>
      <c r="AE17" s="24">
        <f t="shared" si="11"/>
        <v>-8.5520435849990636E-3</v>
      </c>
      <c r="AF17" s="24">
        <f>+resteconomy!AD17/E17</f>
        <v>-0.1001251080479359</v>
      </c>
      <c r="AG17" s="24">
        <f t="shared" si="12"/>
        <v>9.1573064462936837E-2</v>
      </c>
    </row>
    <row r="18" spans="1:33" x14ac:dyDescent="0.2">
      <c r="A18">
        <f t="shared" si="13"/>
        <v>1716</v>
      </c>
      <c r="B18" s="25">
        <f>+'Agricultural production'!AJ19</f>
        <v>482.38716548907837</v>
      </c>
      <c r="C18" s="25">
        <f>+'incomeVOC and total income'!U18</f>
        <v>199.54953546904278</v>
      </c>
      <c r="D18" s="25">
        <f>+resteconomy!Q18/1000</f>
        <v>223.14195837534044</v>
      </c>
      <c r="E18" s="25">
        <f t="shared" si="0"/>
        <v>905.07865933346159</v>
      </c>
      <c r="F18" s="25"/>
      <c r="G18" s="25">
        <f t="shared" si="1"/>
        <v>165.28291517585933</v>
      </c>
      <c r="H18" s="25">
        <f>+Population!X19/38.04</f>
        <v>159.75865065223724</v>
      </c>
      <c r="I18" s="25">
        <f>1000*E18/Population!X19</f>
        <v>148.92974052565526</v>
      </c>
      <c r="J18" s="41">
        <f>+'incomeVOC and total income'!G18/7.69</f>
        <v>21.710212962724455</v>
      </c>
      <c r="K18" s="25">
        <f t="shared" si="2"/>
        <v>97.294962011079477</v>
      </c>
      <c r="L18" s="25">
        <f>+(J18*100/22.31381)*0.53+0.47*'Agricultural production'!AS19/0.93226</f>
        <v>107.37129339838444</v>
      </c>
      <c r="M18" s="25">
        <f t="shared" si="3"/>
        <v>138.70536137911154</v>
      </c>
      <c r="N18" s="25">
        <f>+M18/(Population!O19/Population!X19)</f>
        <v>69.716555073764184</v>
      </c>
      <c r="O18" s="25"/>
      <c r="P18" s="24">
        <f t="shared" si="4"/>
        <v>0.53297816771453743</v>
      </c>
      <c r="Q18" s="24">
        <f t="shared" si="5"/>
        <v>0.2204775611613686</v>
      </c>
      <c r="R18" s="24">
        <f t="shared" si="6"/>
        <v>0.24654427112409397</v>
      </c>
      <c r="S18" s="25"/>
      <c r="T18" s="25">
        <f>((1000*E18)-J18*(Population!W19+Population!R19))/Population!T19</f>
        <v>301.60870010842177</v>
      </c>
      <c r="U18" s="25">
        <f t="shared" si="7"/>
        <v>280.90254905410308</v>
      </c>
      <c r="W18" s="24">
        <v>1.0849305463627994</v>
      </c>
      <c r="X18" s="47">
        <v>172.86425008258684</v>
      </c>
      <c r="Y18" s="48">
        <v>2123.9194184971652</v>
      </c>
      <c r="Z18" s="25">
        <f t="shared" si="8"/>
        <v>1464.2317470193677</v>
      </c>
      <c r="AA18" s="25">
        <f t="shared" si="9"/>
        <v>2965.3246713333178</v>
      </c>
      <c r="AB18" s="25">
        <f t="shared" si="10"/>
        <v>735.9570835392575</v>
      </c>
      <c r="AC18" s="49">
        <v>1514.9324817181978</v>
      </c>
      <c r="AD18" s="41">
        <f>+resteconomy!AD18+resteconomy!V18/1000</f>
        <v>48.496075009426718</v>
      </c>
      <c r="AE18" s="24">
        <f t="shared" si="11"/>
        <v>5.3582166046364732E-2</v>
      </c>
      <c r="AF18" s="24">
        <f>+resteconomy!AD18/E18</f>
        <v>-3.8972962454551195E-2</v>
      </c>
      <c r="AG18" s="24">
        <f t="shared" si="12"/>
        <v>9.2555128500915934E-2</v>
      </c>
    </row>
    <row r="19" spans="1:33" x14ac:dyDescent="0.2">
      <c r="A19">
        <f t="shared" si="13"/>
        <v>1717</v>
      </c>
      <c r="B19" s="25">
        <f>+'Agricultural production'!AJ20</f>
        <v>512.47119958277813</v>
      </c>
      <c r="C19" s="25">
        <f>+'incomeVOC and total income'!U19</f>
        <v>188.83903203546839</v>
      </c>
      <c r="D19" s="25">
        <f>+resteconomy!Q19/1000</f>
        <v>238.99902965151719</v>
      </c>
      <c r="E19" s="25">
        <f t="shared" si="0"/>
        <v>940.30926126976374</v>
      </c>
      <c r="F19" s="25"/>
      <c r="G19" s="25">
        <f t="shared" si="1"/>
        <v>175.12596582339634</v>
      </c>
      <c r="H19" s="25">
        <f>+Population!X20/38.04</f>
        <v>162.86960901138661</v>
      </c>
      <c r="I19" s="25">
        <f>1000*E19/Population!X20</f>
        <v>151.7714738264944</v>
      </c>
      <c r="J19" s="41">
        <f>+'incomeVOC and total income'!G19/7.69</f>
        <v>21.767220098314546</v>
      </c>
      <c r="K19" s="25">
        <f t="shared" si="2"/>
        <v>97.550441176628041</v>
      </c>
      <c r="L19" s="25">
        <f>+(J19*100/22.31381)*0.53+0.47*'Agricultural production'!AS20/0.93226</f>
        <v>105.28099821632719</v>
      </c>
      <c r="M19" s="25">
        <f t="shared" si="3"/>
        <v>144.15846771764117</v>
      </c>
      <c r="N19" s="25">
        <f>+M19/(Population!O20/Population!X20)</f>
        <v>73.031483763592448</v>
      </c>
      <c r="O19" s="25"/>
      <c r="P19" s="24">
        <f t="shared" si="4"/>
        <v>0.54500282055156335</v>
      </c>
      <c r="Q19" s="24">
        <f t="shared" si="5"/>
        <v>0.20082651507703558</v>
      </c>
      <c r="R19" s="24">
        <f t="shared" si="6"/>
        <v>0.25417066437140107</v>
      </c>
      <c r="S19" s="25"/>
      <c r="T19" s="25">
        <f>((1000*E19)-J19*(Population!W20+Population!R20))/Population!T20</f>
        <v>297.57386072984929</v>
      </c>
      <c r="U19" s="25">
        <f t="shared" si="7"/>
        <v>282.64726377157484</v>
      </c>
      <c r="W19" s="24">
        <v>0.95255917376722787</v>
      </c>
      <c r="X19" s="47">
        <v>187.29658908271543</v>
      </c>
      <c r="Y19" s="48">
        <v>2283.8219189807141</v>
      </c>
      <c r="Z19" s="25">
        <f t="shared" si="8"/>
        <v>1521.7970158839501</v>
      </c>
      <c r="AA19" s="25">
        <f t="shared" si="9"/>
        <v>2983.7426088478715</v>
      </c>
      <c r="AB19" s="25">
        <f t="shared" si="10"/>
        <v>770.95085579500551</v>
      </c>
      <c r="AC19" s="49">
        <v>1588.1006149108227</v>
      </c>
      <c r="AD19" s="41">
        <f>+resteconomy!AD19+resteconomy!V19/1000</f>
        <v>89.542393121105121</v>
      </c>
      <c r="AE19" s="24">
        <f t="shared" si="11"/>
        <v>9.5226535363684417E-2</v>
      </c>
      <c r="AF19" s="24">
        <f>+resteconomy!AD19/E19</f>
        <v>-3.0232317598235334E-3</v>
      </c>
      <c r="AG19" s="24">
        <f t="shared" si="12"/>
        <v>9.8249767123507956E-2</v>
      </c>
    </row>
    <row r="20" spans="1:33" x14ac:dyDescent="0.2">
      <c r="A20">
        <f t="shared" si="13"/>
        <v>1718</v>
      </c>
      <c r="B20" s="25">
        <f>+'Agricultural production'!AJ21</f>
        <v>698.34150127506746</v>
      </c>
      <c r="C20" s="25">
        <f>+'incomeVOC and total income'!U20</f>
        <v>279.98129521058939</v>
      </c>
      <c r="D20" s="25">
        <f>+resteconomy!Q20/1000</f>
        <v>257.64563668979315</v>
      </c>
      <c r="E20" s="25">
        <f t="shared" si="0"/>
        <v>1235.9684331754499</v>
      </c>
      <c r="F20" s="25"/>
      <c r="G20" s="25">
        <f t="shared" si="1"/>
        <v>207.87806885042372</v>
      </c>
      <c r="H20" s="25">
        <f>+Population!X21/38.04</f>
        <v>168.14356097552078</v>
      </c>
      <c r="I20" s="25">
        <f>1000*E20/Population!X21</f>
        <v>193.23537305717937</v>
      </c>
      <c r="J20" s="41">
        <f>+'incomeVOC and total income'!G20/7.69</f>
        <v>21.725286057637355</v>
      </c>
      <c r="K20" s="25">
        <f t="shared" si="2"/>
        <v>97.362512532092708</v>
      </c>
      <c r="L20" s="25">
        <f>+(J20*100/22.31381)*0.53+0.47*'Agricultural production'!AS21/0.93226</f>
        <v>116.58120211680782</v>
      </c>
      <c r="M20" s="25">
        <f t="shared" si="3"/>
        <v>165.75174174612508</v>
      </c>
      <c r="N20" s="25">
        <f>+M20/(Population!O21/Population!X21)</f>
        <v>84.880662721486175</v>
      </c>
      <c r="O20" s="25"/>
      <c r="P20" s="24">
        <f t="shared" si="4"/>
        <v>0.56501564484206812</v>
      </c>
      <c r="Q20" s="24">
        <f t="shared" si="5"/>
        <v>0.22652786891268856</v>
      </c>
      <c r="R20" s="24">
        <f t="shared" si="6"/>
        <v>0.20845648624524335</v>
      </c>
      <c r="S20" s="25"/>
      <c r="T20" s="25">
        <f>((1000*E20)-J20*(Population!W21+Population!R21))/Population!T21</f>
        <v>379.06192607244554</v>
      </c>
      <c r="U20" s="25">
        <f t="shared" si="7"/>
        <v>325.14841088415506</v>
      </c>
      <c r="W20" s="24">
        <v>0.99220742390397221</v>
      </c>
      <c r="X20" s="47">
        <v>191.63810175545865</v>
      </c>
      <c r="Y20" s="48">
        <v>2355.2085084386899</v>
      </c>
      <c r="Z20" s="25">
        <f t="shared" si="8"/>
        <v>1749.7446383855588</v>
      </c>
      <c r="AA20" s="25">
        <f t="shared" si="9"/>
        <v>3432.4024751156817</v>
      </c>
      <c r="AB20" s="25">
        <f t="shared" si="10"/>
        <v>896.03573956413925</v>
      </c>
      <c r="AC20" s="49">
        <v>1630.3743019890069</v>
      </c>
      <c r="AD20" s="41">
        <f>+resteconomy!AD20+resteconomy!V20/1000</f>
        <v>135.01507015292805</v>
      </c>
      <c r="AE20" s="24">
        <f t="shared" si="11"/>
        <v>0.10923828354260419</v>
      </c>
      <c r="AF20" s="24">
        <f>+resteconomy!AD20/E20</f>
        <v>4.1165550866396637E-2</v>
      </c>
      <c r="AG20" s="24">
        <f t="shared" si="12"/>
        <v>6.8072732676207559E-2</v>
      </c>
    </row>
    <row r="21" spans="1:33" x14ac:dyDescent="0.2">
      <c r="A21">
        <f t="shared" si="13"/>
        <v>1719</v>
      </c>
      <c r="B21" s="25">
        <f>+'Agricultural production'!AJ22</f>
        <v>703.16797610536582</v>
      </c>
      <c r="C21" s="25">
        <f>+'incomeVOC and total income'!U21</f>
        <v>180.96225876805727</v>
      </c>
      <c r="D21" s="25">
        <f>+resteconomy!Q21/1000</f>
        <v>161.82369900349835</v>
      </c>
      <c r="E21" s="25">
        <f t="shared" si="0"/>
        <v>1045.9539338769214</v>
      </c>
      <c r="F21" s="25"/>
      <c r="G21" s="25">
        <f t="shared" si="1"/>
        <v>168.52150809156953</v>
      </c>
      <c r="H21" s="25">
        <f>+Population!X22/38.04</f>
        <v>171.07024674695344</v>
      </c>
      <c r="I21" s="25">
        <f>1000*E21/Population!X22</f>
        <v>160.73023053054001</v>
      </c>
      <c r="J21" s="41">
        <f>+'incomeVOC and total income'!G21/7.69</f>
        <v>22.487125815464864</v>
      </c>
      <c r="K21" s="25">
        <f t="shared" si="2"/>
        <v>100.7767199571246</v>
      </c>
      <c r="L21" s="25">
        <f>+(J21*100/22.31381)*0.53+0.47*'Agricultural production'!AS22/0.93226</f>
        <v>121.69900979707253</v>
      </c>
      <c r="M21" s="25">
        <f t="shared" si="3"/>
        <v>132.07192958969037</v>
      </c>
      <c r="N21" s="25">
        <f>+M21/(Population!O22/Population!X22)</f>
        <v>68.531553204907766</v>
      </c>
      <c r="O21" s="25"/>
      <c r="P21" s="24">
        <f t="shared" si="4"/>
        <v>0.67227432617324845</v>
      </c>
      <c r="Q21" s="24">
        <f t="shared" si="5"/>
        <v>0.17301169096167032</v>
      </c>
      <c r="R21" s="24">
        <f t="shared" si="6"/>
        <v>0.15471398286508126</v>
      </c>
      <c r="S21" s="25"/>
      <c r="T21" s="25">
        <f>((1000*E21)-J21*(Population!W22+Population!R22))/Population!T22</f>
        <v>304.63792471825116</v>
      </c>
      <c r="U21" s="25">
        <f t="shared" si="7"/>
        <v>250.3207916204255</v>
      </c>
      <c r="W21" s="24">
        <v>0.97501022982360386</v>
      </c>
      <c r="X21" s="47">
        <v>174.72470063416347</v>
      </c>
      <c r="Y21" s="48">
        <v>2152.1500202605239</v>
      </c>
      <c r="Z21" s="25">
        <f t="shared" si="8"/>
        <v>1394.2064695449765</v>
      </c>
      <c r="AA21" s="25">
        <f t="shared" si="9"/>
        <v>2642.4908625402581</v>
      </c>
      <c r="AB21" s="25">
        <f t="shared" si="10"/>
        <v>723.44770870756361</v>
      </c>
      <c r="AC21" s="49">
        <v>1562.3514002387462</v>
      </c>
      <c r="AD21" s="41">
        <f>+resteconomy!AD21+resteconomy!V21/1000</f>
        <v>76.817591623602524</v>
      </c>
      <c r="AE21" s="24">
        <f t="shared" si="11"/>
        <v>7.3442614569908721E-2</v>
      </c>
      <c r="AF21" s="24">
        <f>+resteconomy!AD21/E21</f>
        <v>4.5221484948220626E-2</v>
      </c>
      <c r="AG21" s="24">
        <f t="shared" si="12"/>
        <v>2.8221129621688094E-2</v>
      </c>
    </row>
    <row r="22" spans="1:33" x14ac:dyDescent="0.2">
      <c r="A22">
        <f t="shared" si="13"/>
        <v>1720</v>
      </c>
      <c r="B22" s="25">
        <f>+'Agricultural production'!AJ23</f>
        <v>862.76319618888897</v>
      </c>
      <c r="C22" s="25">
        <f>+'incomeVOC and total income'!U22</f>
        <v>186.94895257373852</v>
      </c>
      <c r="D22" s="25">
        <f>+resteconomy!Q22/1000</f>
        <v>180.64273591675635</v>
      </c>
      <c r="E22" s="25">
        <f t="shared" si="0"/>
        <v>1230.3548846793838</v>
      </c>
      <c r="F22" s="25"/>
      <c r="G22" s="25">
        <f t="shared" si="1"/>
        <v>196.72546870320181</v>
      </c>
      <c r="H22" s="25">
        <f>+Population!X23/38.04</f>
        <v>170.71554216533818</v>
      </c>
      <c r="I22" s="25">
        <f>1000*E22/Population!X23</f>
        <v>189.45969241023133</v>
      </c>
      <c r="J22" s="41">
        <f>+'incomeVOC and total income'!G22/7.69</f>
        <v>22.540560029698884</v>
      </c>
      <c r="K22" s="25">
        <f t="shared" si="2"/>
        <v>101.01618696985805</v>
      </c>
      <c r="L22" s="25">
        <f>+(J22*100/22.31381)*0.53+0.47*'Agricultural production'!AS23/0.93226</f>
        <v>122.6308202032819</v>
      </c>
      <c r="M22" s="25">
        <f t="shared" si="3"/>
        <v>154.49598404069135</v>
      </c>
      <c r="N22" s="25">
        <f>+M22/(Population!O23/Population!X23)</f>
        <v>78.946241618147326</v>
      </c>
      <c r="O22" s="25"/>
      <c r="P22" s="24">
        <f t="shared" si="4"/>
        <v>0.70123117072332763</v>
      </c>
      <c r="Q22" s="24">
        <f t="shared" si="5"/>
        <v>0.15194717792537984</v>
      </c>
      <c r="R22" s="24">
        <f t="shared" si="6"/>
        <v>0.14682165135129263</v>
      </c>
      <c r="S22" s="25"/>
      <c r="T22" s="25">
        <f>((1000*E22)-J22*(Population!W23+Population!R23))/Population!T23</f>
        <v>368.96512582736295</v>
      </c>
      <c r="U22" s="25">
        <f t="shared" si="7"/>
        <v>300.87471095417868</v>
      </c>
      <c r="W22" s="24">
        <v>0.98123966045498434</v>
      </c>
      <c r="X22" s="47">
        <v>176.50014974406966</v>
      </c>
      <c r="Y22" s="48">
        <v>2191.8161062417107</v>
      </c>
      <c r="Z22" s="25">
        <f t="shared" si="8"/>
        <v>1630.9241572939325</v>
      </c>
      <c r="AA22" s="25">
        <f t="shared" si="9"/>
        <v>3176.1591568927588</v>
      </c>
      <c r="AB22" s="25">
        <f t="shared" si="10"/>
        <v>833.38951094475283</v>
      </c>
      <c r="AC22" s="49">
        <v>1642.2199079506315</v>
      </c>
      <c r="AD22" s="41">
        <f>+resteconomy!AD22+resteconomy!V22/1000</f>
        <v>313.94063259275174</v>
      </c>
      <c r="AE22" s="24">
        <f t="shared" si="11"/>
        <v>0.25516266607464322</v>
      </c>
      <c r="AF22" s="24">
        <f>+resteconomy!AD22/E22</f>
        <v>0.20480007713761658</v>
      </c>
      <c r="AG22" s="24">
        <f t="shared" si="12"/>
        <v>5.0362588937026637E-2</v>
      </c>
    </row>
    <row r="23" spans="1:33" x14ac:dyDescent="0.2">
      <c r="A23">
        <f t="shared" si="13"/>
        <v>1721</v>
      </c>
      <c r="B23" s="25">
        <f>+'Agricultural production'!AJ24</f>
        <v>847.7855521478325</v>
      </c>
      <c r="C23" s="25">
        <f>+'incomeVOC and total income'!U23</f>
        <v>183.75712699653553</v>
      </c>
      <c r="D23" s="25">
        <f>+resteconomy!Q23/1000</f>
        <v>200.49731919038965</v>
      </c>
      <c r="E23" s="25">
        <f t="shared" si="0"/>
        <v>1232.0399983347577</v>
      </c>
      <c r="F23" s="25"/>
      <c r="G23" s="25">
        <f t="shared" si="1"/>
        <v>204.24087792021837</v>
      </c>
      <c r="H23" s="25">
        <f>+Population!X24/38.04</f>
        <v>176.53286260939043</v>
      </c>
      <c r="I23" s="25">
        <f>1000*E23/Population!X24</f>
        <v>183.46732781524389</v>
      </c>
      <c r="J23" s="41">
        <f>+'incomeVOC and total income'!G23/7.69</f>
        <v>22.5453637340269</v>
      </c>
      <c r="K23" s="25">
        <f t="shared" si="2"/>
        <v>101.0377149129929</v>
      </c>
      <c r="L23" s="25">
        <f>+(J23*100/22.31381)*0.53+0.47*'Agricultural production'!AS24/0.93226</f>
        <v>118.28017619278108</v>
      </c>
      <c r="M23" s="25">
        <f t="shared" si="3"/>
        <v>155.11249113817377</v>
      </c>
      <c r="N23" s="25">
        <f>+M23/(Population!O24/Population!X24)</f>
        <v>80.068808716401023</v>
      </c>
      <c r="O23" s="25"/>
      <c r="P23" s="24">
        <f t="shared" si="4"/>
        <v>0.68811528302142078</v>
      </c>
      <c r="Q23" s="24">
        <f t="shared" si="5"/>
        <v>0.14914866988482858</v>
      </c>
      <c r="R23" s="24">
        <f t="shared" si="6"/>
        <v>0.1627360470937507</v>
      </c>
      <c r="S23" s="25"/>
      <c r="T23" s="25">
        <f>((1000*E23)-J23*(Population!W24+Population!R24))/Population!T24</f>
        <v>363.35444966657769</v>
      </c>
      <c r="U23" s="25">
        <f t="shared" si="7"/>
        <v>307.19809638629374</v>
      </c>
      <c r="W23" s="24">
        <v>1.0269325398535096</v>
      </c>
      <c r="X23" s="47">
        <v>167.94518995348048</v>
      </c>
      <c r="Y23" s="48">
        <v>2125.3503532293626</v>
      </c>
      <c r="Z23" s="25">
        <f t="shared" si="8"/>
        <v>1637.4322637969624</v>
      </c>
      <c r="AA23" s="25">
        <f t="shared" si="9"/>
        <v>3242.9114554793732</v>
      </c>
      <c r="AB23" s="25">
        <f t="shared" si="10"/>
        <v>845.23979825217634</v>
      </c>
      <c r="AC23" s="49">
        <v>1614.984663026617</v>
      </c>
      <c r="AD23" s="41">
        <f>+resteconomy!AD23+resteconomy!V23/1000</f>
        <v>235.91686069030604</v>
      </c>
      <c r="AE23" s="24">
        <f t="shared" si="11"/>
        <v>0.19148474157427886</v>
      </c>
      <c r="AF23" s="24">
        <f>+resteconomy!AD23/E23</f>
        <v>0.15499995484918944</v>
      </c>
      <c r="AG23" s="24">
        <f t="shared" si="12"/>
        <v>3.6484786725089424E-2</v>
      </c>
    </row>
    <row r="24" spans="1:33" x14ac:dyDescent="0.2">
      <c r="A24">
        <f t="shared" si="13"/>
        <v>1722</v>
      </c>
      <c r="B24" s="25">
        <f>+'Agricultural production'!AJ25</f>
        <v>977.60591108215795</v>
      </c>
      <c r="C24" s="25">
        <f>+'incomeVOC and total income'!U24</f>
        <v>185.23265583500367</v>
      </c>
      <c r="D24" s="25">
        <f>+resteconomy!Q24/1000</f>
        <v>205.28836675540549</v>
      </c>
      <c r="E24" s="25">
        <f t="shared" si="0"/>
        <v>1368.1269336725672</v>
      </c>
      <c r="F24" s="25"/>
      <c r="G24" s="25">
        <f t="shared" si="1"/>
        <v>221.76114503444981</v>
      </c>
      <c r="H24" s="25">
        <f>+Population!X25/38.04</f>
        <v>187.10950533472953</v>
      </c>
      <c r="I24" s="25">
        <f>1000*E24/Population!X25</f>
        <v>192.21622062119812</v>
      </c>
      <c r="J24" s="41">
        <f>+'incomeVOC and total income'!G24/7.69</f>
        <v>21.918934614447348</v>
      </c>
      <c r="K24" s="25">
        <f t="shared" si="2"/>
        <v>98.230354271401197</v>
      </c>
      <c r="L24" s="25">
        <f>+(J24*100/22.31381)*0.53+0.47*'Agricultural production'!AS25/0.93226</f>
        <v>120.96807266727413</v>
      </c>
      <c r="M24" s="25">
        <f t="shared" si="3"/>
        <v>158.89830794435645</v>
      </c>
      <c r="N24" s="25">
        <f>+M24/(Population!O25/Population!X25)</f>
        <v>80.696035747207389</v>
      </c>
      <c r="O24" s="25"/>
      <c r="P24" s="24">
        <f t="shared" si="4"/>
        <v>0.71455790177150891</v>
      </c>
      <c r="Q24" s="24">
        <f t="shared" si="5"/>
        <v>0.13539142551471417</v>
      </c>
      <c r="R24" s="24">
        <f t="shared" si="6"/>
        <v>0.15005067271377687</v>
      </c>
      <c r="S24" s="25"/>
      <c r="T24" s="25">
        <f>((1000*E24)-J24*(Population!W25+Population!R25))/Population!T25</f>
        <v>395.83881404639249</v>
      </c>
      <c r="U24" s="25">
        <f t="shared" si="7"/>
        <v>327.22585829333462</v>
      </c>
      <c r="W24" s="24">
        <v>1.0602149963663394</v>
      </c>
      <c r="X24" s="47">
        <v>162.38400058704795</v>
      </c>
      <c r="Y24" s="48">
        <v>2117.9509268653001</v>
      </c>
      <c r="Z24" s="25">
        <f t="shared" si="8"/>
        <v>1677.3969277500819</v>
      </c>
      <c r="AA24" s="25">
        <f t="shared" si="9"/>
        <v>3454.3328779425042</v>
      </c>
      <c r="AB24" s="25">
        <f t="shared" si="10"/>
        <v>851.86106885025515</v>
      </c>
      <c r="AC24" s="49">
        <v>1680.5169415933449</v>
      </c>
      <c r="AD24" s="41">
        <f>+resteconomy!AD24+resteconomy!V24/1000</f>
        <v>311.37268761927783</v>
      </c>
      <c r="AE24" s="24">
        <f t="shared" si="11"/>
        <v>0.22759049614163829</v>
      </c>
      <c r="AF24" s="24">
        <f>+resteconomy!AD24/E24</f>
        <v>0.17933117617515681</v>
      </c>
      <c r="AG24" s="24">
        <f t="shared" si="12"/>
        <v>4.8259319966481473E-2</v>
      </c>
    </row>
    <row r="25" spans="1:33" x14ac:dyDescent="0.2">
      <c r="A25">
        <f t="shared" si="13"/>
        <v>1723</v>
      </c>
      <c r="B25" s="25">
        <f>+'Agricultural production'!AJ26</f>
        <v>1029.6163559224985</v>
      </c>
      <c r="C25" s="25">
        <f>+'incomeVOC and total income'!U25</f>
        <v>224.71931713627706</v>
      </c>
      <c r="D25" s="25">
        <f>+resteconomy!Q25/1000</f>
        <v>237.64134962126124</v>
      </c>
      <c r="E25" s="25">
        <f t="shared" si="0"/>
        <v>1491.977022680037</v>
      </c>
      <c r="F25" s="25"/>
      <c r="G25" s="25">
        <f t="shared" si="1"/>
        <v>247.97789373824364</v>
      </c>
      <c r="H25" s="25">
        <f>+Population!X26/38.04</f>
        <v>197.72064918240292</v>
      </c>
      <c r="I25" s="25">
        <f>1000*E25/Population!X26</f>
        <v>198.36707923869551</v>
      </c>
      <c r="J25" s="41">
        <f>+'incomeVOC and total income'!G25/7.69</f>
        <v>21.766802788734694</v>
      </c>
      <c r="K25" s="25">
        <f t="shared" si="2"/>
        <v>97.548570991393646</v>
      </c>
      <c r="L25" s="25">
        <f>+(J25*100/22.31381)*0.53+0.47*'Agricultural production'!AS26/0.93226</f>
        <v>117.97201348914871</v>
      </c>
      <c r="M25" s="25">
        <f t="shared" si="3"/>
        <v>168.14757447277248</v>
      </c>
      <c r="N25" s="25">
        <f>+M25/(Population!O26/Population!X26)</f>
        <v>85.710246572100644</v>
      </c>
      <c r="O25" s="25"/>
      <c r="P25" s="24">
        <f t="shared" si="4"/>
        <v>0.69010201918056324</v>
      </c>
      <c r="Q25" s="24">
        <f t="shared" si="5"/>
        <v>0.15061848387759616</v>
      </c>
      <c r="R25" s="24">
        <f t="shared" si="6"/>
        <v>0.15927949694184049</v>
      </c>
      <c r="S25" s="25"/>
      <c r="T25" s="25">
        <f>((1000*E25)-J25*(Population!W26+Population!R26))/Population!T26</f>
        <v>415.80317081494491</v>
      </c>
      <c r="U25" s="25">
        <f t="shared" si="7"/>
        <v>352.45916257349569</v>
      </c>
      <c r="W25" s="24">
        <v>0.91500701192167755</v>
      </c>
      <c r="X25" s="47">
        <v>171.39831594137593</v>
      </c>
      <c r="Y25" s="48">
        <v>2206.6741265618361</v>
      </c>
      <c r="Z25" s="25">
        <f t="shared" si="8"/>
        <v>1775.0360496477151</v>
      </c>
      <c r="AA25" s="25">
        <f t="shared" si="9"/>
        <v>3720.7061806169859</v>
      </c>
      <c r="AB25" s="25">
        <f t="shared" si="10"/>
        <v>904.7931732985445</v>
      </c>
      <c r="AC25" s="49">
        <v>1611.7735506542542</v>
      </c>
      <c r="AD25" s="41">
        <f>+resteconomy!AD25+resteconomy!V25/1000</f>
        <v>272.02856879257837</v>
      </c>
      <c r="AE25" s="24">
        <f t="shared" si="11"/>
        <v>0.18232758591947595</v>
      </c>
      <c r="AF25" s="24">
        <f>+resteconomy!AD25/E25</f>
        <v>0.13653790523995357</v>
      </c>
      <c r="AG25" s="24">
        <f t="shared" si="12"/>
        <v>4.5789680679522382E-2</v>
      </c>
    </row>
    <row r="26" spans="1:33" x14ac:dyDescent="0.2">
      <c r="A26">
        <f t="shared" si="13"/>
        <v>1724</v>
      </c>
      <c r="B26" s="25">
        <f>+'Agricultural production'!AJ27</f>
        <v>869.99675470268039</v>
      </c>
      <c r="C26" s="25">
        <f>+'incomeVOC and total income'!U26</f>
        <v>251.55853615866013</v>
      </c>
      <c r="D26" s="25">
        <f>+resteconomy!Q26/1000</f>
        <v>292.0892016977138</v>
      </c>
      <c r="E26" s="25">
        <f t="shared" si="0"/>
        <v>1413.6444925590545</v>
      </c>
      <c r="F26" s="25"/>
      <c r="G26" s="25">
        <f t="shared" si="1"/>
        <v>263.85819186512873</v>
      </c>
      <c r="H26" s="25">
        <f>+Population!X27/38.04</f>
        <v>211.63214351054052</v>
      </c>
      <c r="I26" s="25">
        <f>1000*E26/Population!X27</f>
        <v>175.59739409121732</v>
      </c>
      <c r="J26" s="41">
        <f>+'incomeVOC and total income'!G26/7.69</f>
        <v>21.773690897461208</v>
      </c>
      <c r="K26" s="25">
        <f t="shared" si="2"/>
        <v>97.579440254538369</v>
      </c>
      <c r="L26" s="25">
        <f>+(J26*100/22.31381)*0.53+0.47*'Agricultural production'!AS27/0.93226</f>
        <v>105.05082016218236</v>
      </c>
      <c r="M26" s="25">
        <f t="shared" si="3"/>
        <v>167.15471028224422</v>
      </c>
      <c r="N26" s="25">
        <f>+M26/(Population!O27/Population!X27)</f>
        <v>84.204616212478314</v>
      </c>
      <c r="O26" s="25"/>
      <c r="P26" s="24">
        <f t="shared" si="4"/>
        <v>0.61542824895654347</v>
      </c>
      <c r="Q26" s="24">
        <f t="shared" si="5"/>
        <v>0.1779503527816074</v>
      </c>
      <c r="R26" s="24">
        <f t="shared" si="6"/>
        <v>0.20662139826184897</v>
      </c>
      <c r="S26" s="25"/>
      <c r="T26" s="25">
        <f>((1000*E26)-J26*(Population!W27+Population!R27))/Population!T27</f>
        <v>378.05437658560203</v>
      </c>
      <c r="U26" s="25">
        <f t="shared" si="7"/>
        <v>359.87760590725901</v>
      </c>
      <c r="W26" s="24">
        <v>0.91754702137771471</v>
      </c>
      <c r="X26" s="47">
        <v>173.70764109650756</v>
      </c>
      <c r="Y26" s="48">
        <v>2239.2659952371814</v>
      </c>
      <c r="Z26" s="25">
        <f t="shared" si="8"/>
        <v>1764.5549604252399</v>
      </c>
      <c r="AA26" s="25">
        <f t="shared" si="9"/>
        <v>3799.0183679380766</v>
      </c>
      <c r="AB26" s="25">
        <f t="shared" si="10"/>
        <v>888.89911015696498</v>
      </c>
      <c r="AC26" s="49">
        <v>1605.3934407620279</v>
      </c>
      <c r="AD26" s="41">
        <f>+resteconomy!AD26+resteconomy!V26/1000</f>
        <v>344.07746333608605</v>
      </c>
      <c r="AE26" s="24">
        <f t="shared" si="11"/>
        <v>0.24339744903842034</v>
      </c>
      <c r="AF26" s="24">
        <f>+resteconomy!AD26/E26</f>
        <v>0.17553804834011952</v>
      </c>
      <c r="AG26" s="24">
        <f t="shared" si="12"/>
        <v>6.785940069830082E-2</v>
      </c>
    </row>
    <row r="27" spans="1:33" x14ac:dyDescent="0.2">
      <c r="A27">
        <f t="shared" si="13"/>
        <v>1725</v>
      </c>
      <c r="B27" s="25">
        <f>+'Agricultural production'!AJ28</f>
        <v>709.75611207651991</v>
      </c>
      <c r="C27" s="25">
        <f>+'incomeVOC and total income'!U27</f>
        <v>238.36758840713924</v>
      </c>
      <c r="D27" s="25">
        <f>+resteconomy!Q27/1000</f>
        <v>249.73617578381237</v>
      </c>
      <c r="E27" s="25">
        <f t="shared" si="0"/>
        <v>1197.8598762674715</v>
      </c>
      <c r="F27" s="25"/>
      <c r="G27" s="25">
        <f t="shared" si="1"/>
        <v>223.74031937998888</v>
      </c>
      <c r="H27" s="25">
        <f>+Population!X28/38.04</f>
        <v>218.68653024010419</v>
      </c>
      <c r="I27" s="25">
        <f>1000*E27/Population!X28</f>
        <v>143.99369483627052</v>
      </c>
      <c r="J27" s="41">
        <f>+'incomeVOC and total income'!G27/7.69</f>
        <v>21.248961161871051</v>
      </c>
      <c r="K27" s="25">
        <f t="shared" si="2"/>
        <v>95.227848412579704</v>
      </c>
      <c r="L27" s="25">
        <f>+(J27*100/22.31381)*0.53+0.47*'Agricultural production'!AS28/0.93226</f>
        <v>104.97637895284439</v>
      </c>
      <c r="M27" s="25">
        <f t="shared" si="3"/>
        <v>137.16770979588921</v>
      </c>
      <c r="N27" s="25">
        <f>+M27/(Population!O28/Population!X28)</f>
        <v>70.120158824309115</v>
      </c>
      <c r="O27" s="25"/>
      <c r="P27" s="24">
        <f t="shared" si="4"/>
        <v>0.59252014875739745</v>
      </c>
      <c r="Q27" s="24">
        <f t="shared" si="5"/>
        <v>0.19899455114056586</v>
      </c>
      <c r="R27" s="24">
        <f t="shared" si="6"/>
        <v>0.20848530010203672</v>
      </c>
      <c r="S27" s="25"/>
      <c r="T27" s="25">
        <f>((1000*E27)-J27*(Population!W28+Population!R28))/Population!T28</f>
        <v>312.96025428222902</v>
      </c>
      <c r="U27" s="25">
        <f t="shared" si="7"/>
        <v>298.12445180911737</v>
      </c>
      <c r="W27" s="24">
        <v>0.96341076949230386</v>
      </c>
      <c r="X27" s="47">
        <v>184.35857066324101</v>
      </c>
      <c r="Y27" s="48">
        <v>2319.9081261054757</v>
      </c>
      <c r="Z27" s="25">
        <f t="shared" si="8"/>
        <v>1447.9996544627218</v>
      </c>
      <c r="AA27" s="25">
        <f t="shared" si="9"/>
        <v>3147.1262722753977</v>
      </c>
      <c r="AB27" s="25">
        <f t="shared" si="10"/>
        <v>740.21769335915269</v>
      </c>
      <c r="AC27" s="49">
        <v>1692.1697868529734</v>
      </c>
      <c r="AD27" s="41">
        <f>+resteconomy!AD27+resteconomy!V27/1000</f>
        <v>120.04688552845418</v>
      </c>
      <c r="AE27" s="24">
        <f t="shared" si="11"/>
        <v>0.10021780335653281</v>
      </c>
      <c r="AF27" s="24">
        <f>+resteconomy!AD27/E27</f>
        <v>5.3429517588818046E-2</v>
      </c>
      <c r="AG27" s="24">
        <f t="shared" si="12"/>
        <v>4.6788285767714766E-2</v>
      </c>
    </row>
    <row r="28" spans="1:33" x14ac:dyDescent="0.2">
      <c r="A28">
        <f t="shared" si="13"/>
        <v>1726</v>
      </c>
      <c r="B28" s="25">
        <f>+'Agricultural production'!AJ29</f>
        <v>664.00098438897669</v>
      </c>
      <c r="C28" s="25">
        <f>+'incomeVOC and total income'!U28</f>
        <v>229.76961440837965</v>
      </c>
      <c r="D28" s="25">
        <f>+resteconomy!Q28/1000</f>
        <v>273.81254436079365</v>
      </c>
      <c r="E28" s="25">
        <f t="shared" si="0"/>
        <v>1167.5831431581501</v>
      </c>
      <c r="F28" s="25"/>
      <c r="G28" s="25">
        <f t="shared" si="1"/>
        <v>217.2049935621344</v>
      </c>
      <c r="H28" s="25">
        <f>+Population!X29/38.04</f>
        <v>230.50595134536522</v>
      </c>
      <c r="I28" s="25">
        <f>1000*E28/Population!X29</f>
        <v>133.1573566554755</v>
      </c>
      <c r="J28" s="41">
        <f>+'incomeVOC and total income'!G28/7.69</f>
        <v>21.198545299252618</v>
      </c>
      <c r="K28" s="25">
        <f t="shared" si="2"/>
        <v>95.001908231954189</v>
      </c>
      <c r="L28" s="25">
        <f>+(J28*100/22.31381)*0.53+0.47*'Agricultural production'!AS29/0.93226</f>
        <v>105.40175317930233</v>
      </c>
      <c r="M28" s="25">
        <f t="shared" si="3"/>
        <v>126.33315162126118</v>
      </c>
      <c r="N28" s="25">
        <f>+M28/(Population!O29/Population!X29)</f>
        <v>64.684918956652524</v>
      </c>
      <c r="O28" s="25"/>
      <c r="P28" s="24">
        <f t="shared" si="4"/>
        <v>0.5686969602806583</v>
      </c>
      <c r="Q28" s="24">
        <f t="shared" si="5"/>
        <v>0.19679079451839704</v>
      </c>
      <c r="R28" s="24">
        <f t="shared" si="6"/>
        <v>0.23451224520094457</v>
      </c>
      <c r="S28" s="25"/>
      <c r="T28" s="25">
        <f>((1000*E28)-J28*(Population!W29+Population!R29))/Population!T29</f>
        <v>291.62608578796215</v>
      </c>
      <c r="U28" s="25">
        <f t="shared" si="7"/>
        <v>276.68048869345427</v>
      </c>
      <c r="W28" s="24">
        <v>0.963065582622182</v>
      </c>
      <c r="X28" s="47">
        <v>190.92970400152498</v>
      </c>
      <c r="Y28" s="48">
        <v>2379.64728599316</v>
      </c>
      <c r="Z28" s="25">
        <f t="shared" si="8"/>
        <v>1333.6255315990929</v>
      </c>
      <c r="AA28" s="25">
        <f t="shared" si="9"/>
        <v>2920.7548381529186</v>
      </c>
      <c r="AB28" s="25">
        <f t="shared" si="10"/>
        <v>682.84103042587253</v>
      </c>
      <c r="AC28" s="49">
        <v>1661.3975915051444</v>
      </c>
      <c r="AD28" s="41">
        <f>+resteconomy!AD28+resteconomy!V28/1000</f>
        <v>150.17924645379705</v>
      </c>
      <c r="AE28" s="24">
        <f t="shared" si="11"/>
        <v>0.12862402761963748</v>
      </c>
      <c r="AF28" s="24">
        <f>+resteconomy!AD28/E28</f>
        <v>5.348738034990435E-2</v>
      </c>
      <c r="AG28" s="24">
        <f t="shared" si="12"/>
        <v>7.5136647269733126E-2</v>
      </c>
    </row>
    <row r="29" spans="1:33" x14ac:dyDescent="0.2">
      <c r="A29">
        <f t="shared" si="13"/>
        <v>1727</v>
      </c>
      <c r="B29" s="25">
        <f>+'Agricultural production'!AJ30</f>
        <v>793.05890341679014</v>
      </c>
      <c r="C29" s="25">
        <f>+'incomeVOC and total income'!U29</f>
        <v>266.95693399299046</v>
      </c>
      <c r="D29" s="25">
        <f>+resteconomy!Q29/1000</f>
        <v>239.8227500718493</v>
      </c>
      <c r="E29" s="25">
        <f t="shared" si="0"/>
        <v>1299.8385874816299</v>
      </c>
      <c r="F29" s="25"/>
      <c r="G29" s="25">
        <f t="shared" si="1"/>
        <v>237.37366186268608</v>
      </c>
      <c r="H29" s="25">
        <f>+Population!X30/38.04</f>
        <v>241.26123295565759</v>
      </c>
      <c r="I29" s="25">
        <f>1000*E29/Population!X30</f>
        <v>141.6319955431282</v>
      </c>
      <c r="J29" s="41">
        <f>+'incomeVOC and total income'!G29/7.69</f>
        <v>21.148129436634186</v>
      </c>
      <c r="K29" s="25">
        <f t="shared" si="2"/>
        <v>94.77596805132869</v>
      </c>
      <c r="L29" s="25">
        <f>+(J29*100/22.31381)*0.53+0.47*'Agricultural production'!AS30/0.93226</f>
        <v>107.37093124440364</v>
      </c>
      <c r="M29" s="25">
        <f t="shared" si="3"/>
        <v>131.9090687783434</v>
      </c>
      <c r="N29" s="25">
        <f>+M29/(Population!O30/Population!X30)</f>
        <v>68.22011277017063</v>
      </c>
      <c r="O29" s="25"/>
      <c r="P29" s="24">
        <f t="shared" si="4"/>
        <v>0.61012106507262631</v>
      </c>
      <c r="Q29" s="24">
        <f t="shared" si="5"/>
        <v>0.20537698800756923</v>
      </c>
      <c r="R29" s="24">
        <f t="shared" si="6"/>
        <v>0.18450194691980445</v>
      </c>
      <c r="S29" s="25"/>
      <c r="T29" s="25">
        <f>((1000*E29)-J29*(Population!W30+Population!R30))/Population!T30</f>
        <v>296.6447425969464</v>
      </c>
      <c r="U29" s="25">
        <f t="shared" si="7"/>
        <v>276.28031084289216</v>
      </c>
      <c r="W29" s="24">
        <v>0.91061774434531184</v>
      </c>
      <c r="X29" s="47">
        <v>187.36634924261668</v>
      </c>
      <c r="Y29" s="48">
        <v>2345.13601580866</v>
      </c>
      <c r="Z29" s="25">
        <f t="shared" si="8"/>
        <v>1392.4872427757402</v>
      </c>
      <c r="AA29" s="25">
        <f t="shared" si="9"/>
        <v>2916.5303935646125</v>
      </c>
      <c r="AB29" s="25">
        <f t="shared" si="10"/>
        <v>720.16001335596718</v>
      </c>
      <c r="AC29" s="49">
        <v>1586.4274767993916</v>
      </c>
      <c r="AD29" s="41">
        <f>+resteconomy!AD29+resteconomy!V29/1000</f>
        <v>216.16857243102555</v>
      </c>
      <c r="AE29" s="24">
        <f t="shared" si="11"/>
        <v>0.16630416615792348</v>
      </c>
      <c r="AF29" s="24">
        <f>+resteconomy!AD29/E29</f>
        <v>0.11634300879081243</v>
      </c>
      <c r="AG29" s="24">
        <f t="shared" si="12"/>
        <v>4.9961157367111056E-2</v>
      </c>
    </row>
    <row r="30" spans="1:33" x14ac:dyDescent="0.2">
      <c r="A30">
        <f t="shared" si="13"/>
        <v>1728</v>
      </c>
      <c r="B30" s="25">
        <f>+'Agricultural production'!AJ31</f>
        <v>784.97130108786712</v>
      </c>
      <c r="C30" s="25">
        <f>+'incomeVOC and total income'!U30</f>
        <v>212.39141829255766</v>
      </c>
      <c r="D30" s="25">
        <f>+resteconomy!Q30/1000</f>
        <v>201.87394780305573</v>
      </c>
      <c r="E30" s="25">
        <f t="shared" si="0"/>
        <v>1199.2366671834804</v>
      </c>
      <c r="F30" s="25"/>
      <c r="G30" s="25">
        <f t="shared" si="1"/>
        <v>235.23607836806613</v>
      </c>
      <c r="H30" s="25">
        <f>+Population!X31/38.04</f>
        <v>243.0521954092728</v>
      </c>
      <c r="I30" s="25">
        <f>1000*E30/Population!X31</f>
        <v>129.70742637751721</v>
      </c>
      <c r="J30" s="41">
        <f>+'incomeVOC and total income'!G30/7.69</f>
        <v>20.774794998266788</v>
      </c>
      <c r="K30" s="25">
        <f t="shared" si="2"/>
        <v>93.102858715148997</v>
      </c>
      <c r="L30" s="25">
        <f>+(J30*100/22.31381)*0.53+0.47*'Agricultural production'!AS31/0.93226</f>
        <v>99.961046016868949</v>
      </c>
      <c r="M30" s="25">
        <f t="shared" si="3"/>
        <v>129.75797227614885</v>
      </c>
      <c r="N30" s="25">
        <f>+M30/(Population!O31/Population!X31)</f>
        <v>68.134461477847125</v>
      </c>
      <c r="O30" s="25"/>
      <c r="P30" s="24">
        <f t="shared" si="4"/>
        <v>0.65455912295564289</v>
      </c>
      <c r="Q30" s="24">
        <f t="shared" si="5"/>
        <v>0.17710550728187688</v>
      </c>
      <c r="R30" s="24">
        <f t="shared" si="6"/>
        <v>0.16833536976248031</v>
      </c>
      <c r="S30" s="25"/>
      <c r="T30" s="25">
        <f>((1000*E30)-J30*(Population!W31+Population!R31))/Population!T31</f>
        <v>271.78118082782521</v>
      </c>
      <c r="U30" s="25">
        <f t="shared" si="7"/>
        <v>271.88709167965362</v>
      </c>
      <c r="W30" s="24">
        <v>0.87739031232520526</v>
      </c>
      <c r="X30" s="47">
        <v>187.07604933958413</v>
      </c>
      <c r="Y30" s="48">
        <v>2354.3371378843799</v>
      </c>
      <c r="Z30" s="25">
        <f t="shared" si="8"/>
        <v>1369.7793693518229</v>
      </c>
      <c r="AA30" s="25">
        <f t="shared" si="9"/>
        <v>2870.153736552445</v>
      </c>
      <c r="AB30" s="25">
        <f t="shared" si="10"/>
        <v>719.25584252834835</v>
      </c>
      <c r="AC30" s="49">
        <v>1595.0081042838156</v>
      </c>
      <c r="AD30" s="41">
        <f>+resteconomy!AD30+resteconomy!V30/1000</f>
        <v>254.94486190444974</v>
      </c>
      <c r="AE30" s="24">
        <f t="shared" si="11"/>
        <v>0.21258928189980347</v>
      </c>
      <c r="AF30" s="24">
        <f>+resteconomy!AD30/E30</f>
        <v>0.17818944047734486</v>
      </c>
      <c r="AG30" s="24">
        <f t="shared" si="12"/>
        <v>3.439984142245861E-2</v>
      </c>
    </row>
    <row r="31" spans="1:33" x14ac:dyDescent="0.2">
      <c r="A31">
        <f t="shared" si="13"/>
        <v>1729</v>
      </c>
      <c r="B31" s="25">
        <f>+'Agricultural production'!AJ32</f>
        <v>836.07158964714074</v>
      </c>
      <c r="C31" s="25">
        <f>+'incomeVOC and total income'!U31</f>
        <v>201.1603186739182</v>
      </c>
      <c r="D31" s="25">
        <f>+resteconomy!Q31/1000</f>
        <v>252.53556594880644</v>
      </c>
      <c r="E31" s="25">
        <f t="shared" si="0"/>
        <v>1289.7674742698655</v>
      </c>
      <c r="F31" s="25"/>
      <c r="G31" s="25">
        <f t="shared" si="1"/>
        <v>256.85995644033318</v>
      </c>
      <c r="H31" s="25">
        <f>+Population!X32/38.04</f>
        <v>246.5427946153286</v>
      </c>
      <c r="I31" s="25">
        <f>1000*E31/Population!X32</f>
        <v>137.52403234259299</v>
      </c>
      <c r="J31" s="41">
        <f>+'incomeVOC and total income'!G31/7.69</f>
        <v>20.408558008916454</v>
      </c>
      <c r="K31" s="25">
        <f t="shared" si="2"/>
        <v>91.461556806822557</v>
      </c>
      <c r="L31" s="25">
        <f>+(J31*100/22.31381)*0.53+0.47*'Agricultural production'!AS32/0.93226</f>
        <v>98.456601291574088</v>
      </c>
      <c r="M31" s="25">
        <f t="shared" si="3"/>
        <v>139.67984933313178</v>
      </c>
      <c r="N31" s="25">
        <f>+M31/(Population!O32/Population!X32)</f>
        <v>73.774110588077122</v>
      </c>
      <c r="O31" s="25"/>
      <c r="P31" s="24">
        <f t="shared" si="4"/>
        <v>0.64823435722042766</v>
      </c>
      <c r="Q31" s="24">
        <f t="shared" si="5"/>
        <v>0.15596634485436578</v>
      </c>
      <c r="R31" s="24">
        <f t="shared" si="6"/>
        <v>0.19579929792520645</v>
      </c>
      <c r="S31" s="25"/>
      <c r="T31" s="25">
        <f>((1000*E31)-J31*(Population!W32+Population!R32))/Population!T32</f>
        <v>299.0090904267214</v>
      </c>
      <c r="U31" s="25">
        <f t="shared" si="7"/>
        <v>303.69633575022726</v>
      </c>
      <c r="W31" s="24">
        <v>0.94067240755948744</v>
      </c>
      <c r="X31" s="47">
        <v>196.34043314128121</v>
      </c>
      <c r="Y31" s="48">
        <v>2469.0803700141505</v>
      </c>
      <c r="Z31" s="25">
        <f t="shared" si="8"/>
        <v>1474.5188490115138</v>
      </c>
      <c r="AA31" s="25">
        <f t="shared" si="9"/>
        <v>3205.9454071391287</v>
      </c>
      <c r="AB31" s="25">
        <f t="shared" si="10"/>
        <v>778.79033483018588</v>
      </c>
      <c r="AC31" s="49">
        <v>1572.3802459851993</v>
      </c>
      <c r="AD31" s="41">
        <f>+resteconomy!AD31+resteconomy!V31/1000</f>
        <v>316.67889550853783</v>
      </c>
      <c r="AE31" s="24">
        <f t="shared" si="11"/>
        <v>0.24553177361509218</v>
      </c>
      <c r="AF31" s="24">
        <f>+resteconomy!AD31/E31</f>
        <v>0.17987499229869305</v>
      </c>
      <c r="AG31" s="24">
        <f t="shared" si="12"/>
        <v>6.5656781316399127E-2</v>
      </c>
    </row>
    <row r="32" spans="1:33" x14ac:dyDescent="0.2">
      <c r="A32">
        <f t="shared" si="13"/>
        <v>1730</v>
      </c>
      <c r="B32" s="25">
        <f>+'Agricultural production'!AJ33</f>
        <v>858.07605193119753</v>
      </c>
      <c r="C32" s="25">
        <f>+'incomeVOC and total income'!U32</f>
        <v>236.15183126449108</v>
      </c>
      <c r="D32" s="25">
        <f>+resteconomy!Q32/1000</f>
        <v>290.31973585965756</v>
      </c>
      <c r="E32" s="25">
        <f t="shared" si="0"/>
        <v>1384.5476190553461</v>
      </c>
      <c r="F32" s="25"/>
      <c r="G32" s="25">
        <f t="shared" si="1"/>
        <v>264.05118798526689</v>
      </c>
      <c r="H32" s="25">
        <f>+Population!X33/38.04</f>
        <v>258.06090010463549</v>
      </c>
      <c r="I32" s="25">
        <f>1000*E32/Population!X33</f>
        <v>141.0409358961584</v>
      </c>
      <c r="J32" s="41">
        <f>+'incomeVOC and total income'!G32/7.69</f>
        <v>20.617854173523796</v>
      </c>
      <c r="K32" s="25">
        <f t="shared" si="2"/>
        <v>92.399523763641412</v>
      </c>
      <c r="L32" s="25">
        <f>+(J32*100/22.31381)*0.53+0.47*'Agricultural production'!AS33/0.93226</f>
        <v>102.81337015613708</v>
      </c>
      <c r="M32" s="25">
        <f t="shared" si="3"/>
        <v>137.18151217294715</v>
      </c>
      <c r="N32" s="25">
        <f>+M32/(Population!O33/Population!X33)</f>
        <v>71.725236933009015</v>
      </c>
      <c r="O32" s="25"/>
      <c r="P32" s="24">
        <f t="shared" si="4"/>
        <v>0.61975192483206076</v>
      </c>
      <c r="Q32" s="24">
        <f t="shared" si="5"/>
        <v>0.17056244798977269</v>
      </c>
      <c r="R32" s="24">
        <f t="shared" si="6"/>
        <v>0.20968562717816661</v>
      </c>
      <c r="S32" s="25"/>
      <c r="T32" s="25">
        <f>((1000*E32)-J32*(Population!W33+Population!R33))/Population!T33</f>
        <v>314.48793100158179</v>
      </c>
      <c r="U32" s="25">
        <f t="shared" si="7"/>
        <v>305.8823288488511</v>
      </c>
      <c r="W32" s="24">
        <v>1.0192115572660103</v>
      </c>
      <c r="X32" s="47">
        <v>178.84728239037835</v>
      </c>
      <c r="Y32" s="48">
        <v>2302.877069177609</v>
      </c>
      <c r="Z32" s="25">
        <f t="shared" si="8"/>
        <v>1448.1453581216986</v>
      </c>
      <c r="AA32" s="25">
        <f t="shared" si="9"/>
        <v>3229.021663615054</v>
      </c>
      <c r="AB32" s="25">
        <f t="shared" si="10"/>
        <v>757.16156849012634</v>
      </c>
      <c r="AC32" s="49">
        <v>1624.4215545456518</v>
      </c>
      <c r="AD32" s="41">
        <f>+resteconomy!AD32+resteconomy!V32/1000</f>
        <v>301.38365033555749</v>
      </c>
      <c r="AE32" s="24">
        <f t="shared" si="11"/>
        <v>0.21767662317110231</v>
      </c>
      <c r="AF32" s="24">
        <f>+resteconomy!AD32/E32</f>
        <v>0.13455849656281124</v>
      </c>
      <c r="AG32" s="24">
        <f t="shared" si="12"/>
        <v>8.3118126608291071E-2</v>
      </c>
    </row>
    <row r="33" spans="1:33" x14ac:dyDescent="0.2">
      <c r="A33">
        <f t="shared" si="13"/>
        <v>1731</v>
      </c>
      <c r="B33" s="25">
        <f>+'Agricultural production'!AJ34</f>
        <v>919.1218435210933</v>
      </c>
      <c r="C33" s="25">
        <f>+'incomeVOC and total income'!U33</f>
        <v>231.99515792897043</v>
      </c>
      <c r="D33" s="25">
        <f>+resteconomy!Q33/1000</f>
        <v>301.87082948576699</v>
      </c>
      <c r="E33" s="25">
        <f t="shared" si="0"/>
        <v>1452.9878309358307</v>
      </c>
      <c r="F33" s="25"/>
      <c r="G33" s="25">
        <f t="shared" si="1"/>
        <v>294.7385374683185</v>
      </c>
      <c r="H33" s="25">
        <f>+Population!X34/38.04</f>
        <v>270.23377625084976</v>
      </c>
      <c r="I33" s="25">
        <f>1000*E33/Population!X34</f>
        <v>141.34545188635795</v>
      </c>
      <c r="J33" s="41">
        <f>+'incomeVOC and total income'!G33/7.69</f>
        <v>20.58366857070984</v>
      </c>
      <c r="K33" s="25">
        <f t="shared" si="2"/>
        <v>92.246319972742612</v>
      </c>
      <c r="L33" s="25">
        <f>+(J33*100/22.31381)*0.53+0.47*'Agricultural production'!AS34/0.93226</f>
        <v>96.661799688791646</v>
      </c>
      <c r="M33" s="25">
        <f t="shared" si="3"/>
        <v>146.2267952194434</v>
      </c>
      <c r="N33" s="25">
        <f>+M33/(Population!O34/Population!X34)</f>
        <v>76.716777239523992</v>
      </c>
      <c r="O33" s="25"/>
      <c r="P33" s="24">
        <f t="shared" si="4"/>
        <v>0.63257366920210989</v>
      </c>
      <c r="Q33" s="24">
        <f t="shared" si="5"/>
        <v>0.1596676537748761</v>
      </c>
      <c r="R33" s="24">
        <f t="shared" si="6"/>
        <v>0.20775867702301404</v>
      </c>
      <c r="S33" s="25"/>
      <c r="T33" s="25">
        <f>((1000*E33)-J33*(Population!W34+Population!R34))/Population!T34</f>
        <v>311.76427961705031</v>
      </c>
      <c r="U33" s="25">
        <f t="shared" si="7"/>
        <v>322.53101082412468</v>
      </c>
      <c r="W33" s="24">
        <v>0.97965404379374288</v>
      </c>
      <c r="X33" s="47">
        <v>170.54534354571678</v>
      </c>
      <c r="Y33" s="48">
        <v>2193.5903142463321</v>
      </c>
      <c r="Z33" s="25">
        <f t="shared" si="8"/>
        <v>1543.6311451581209</v>
      </c>
      <c r="AA33" s="25">
        <f t="shared" si="9"/>
        <v>3404.7721065095843</v>
      </c>
      <c r="AB33" s="25">
        <f t="shared" si="10"/>
        <v>809.8543534744756</v>
      </c>
      <c r="AC33" s="49">
        <v>1645.4272277937014</v>
      </c>
      <c r="AD33" s="41">
        <f>+resteconomy!AD33+resteconomy!V33/1000</f>
        <v>321.50971518722122</v>
      </c>
      <c r="AE33" s="24">
        <f t="shared" si="11"/>
        <v>0.22127488499345888</v>
      </c>
      <c r="AF33" s="24">
        <f>+resteconomy!AD33/E33</f>
        <v>0.1696835885740173</v>
      </c>
      <c r="AG33" s="24">
        <f t="shared" si="12"/>
        <v>5.1591296419441574E-2</v>
      </c>
    </row>
    <row r="34" spans="1:33" x14ac:dyDescent="0.2">
      <c r="A34">
        <f t="shared" si="13"/>
        <v>1732</v>
      </c>
      <c r="B34" s="25">
        <f>+'Agricultural production'!AJ35</f>
        <v>964.16210475152616</v>
      </c>
      <c r="C34" s="25">
        <f>+'incomeVOC and total income'!U34</f>
        <v>247.85814461625188</v>
      </c>
      <c r="D34" s="25">
        <f>+resteconomy!Q34/1000</f>
        <v>267.75661501904847</v>
      </c>
      <c r="E34" s="25">
        <f t="shared" si="0"/>
        <v>1479.7768643868264</v>
      </c>
      <c r="F34" s="25"/>
      <c r="G34" s="25">
        <f t="shared" si="1"/>
        <v>292.4349094361371</v>
      </c>
      <c r="H34" s="25">
        <f>+Population!X35/38.04</f>
        <v>277.57849541445842</v>
      </c>
      <c r="I34" s="25">
        <f>1000*E34/Population!X35</f>
        <v>140.14251510144859</v>
      </c>
      <c r="J34" s="41">
        <f>+'incomeVOC and total income'!G34/7.69</f>
        <v>20.548946330344346</v>
      </c>
      <c r="K34" s="25">
        <f t="shared" si="2"/>
        <v>92.090711224772221</v>
      </c>
      <c r="L34" s="25">
        <f>+(J34*100/22.31381)*0.53+0.47*'Agricultural production'!AS35/0.93226</f>
        <v>99.219456018373393</v>
      </c>
      <c r="M34" s="25">
        <f t="shared" si="3"/>
        <v>141.2449944046227</v>
      </c>
      <c r="N34" s="25">
        <f>+M34/(Population!O35/Population!X35)</f>
        <v>74.823478761977682</v>
      </c>
      <c r="O34" s="25"/>
      <c r="P34" s="24">
        <f t="shared" si="4"/>
        <v>0.65155911540152711</v>
      </c>
      <c r="Q34" s="24">
        <f t="shared" si="5"/>
        <v>0.16749697240263084</v>
      </c>
      <c r="R34" s="24">
        <f t="shared" si="6"/>
        <v>0.1809439121958421</v>
      </c>
      <c r="S34" s="25"/>
      <c r="T34" s="25">
        <f>((1000*E34)-J34*(Population!W35+Population!R35))/Population!T35</f>
        <v>311.07467985698742</v>
      </c>
      <c r="U34" s="25">
        <f t="shared" si="7"/>
        <v>313.52185583378207</v>
      </c>
      <c r="W34" s="24">
        <v>1.1021752739374409</v>
      </c>
      <c r="X34" s="47">
        <v>170.44731767770298</v>
      </c>
      <c r="Y34" s="48">
        <v>2207.4625162818083</v>
      </c>
      <c r="Z34" s="25">
        <f t="shared" si="8"/>
        <v>1491.0411743173402</v>
      </c>
      <c r="AA34" s="25">
        <f t="shared" si="9"/>
        <v>3309.6677023285333</v>
      </c>
      <c r="AB34" s="25">
        <f t="shared" si="10"/>
        <v>789.86790370899291</v>
      </c>
      <c r="AC34" s="49">
        <v>1616.0255496214945</v>
      </c>
      <c r="AD34" s="41">
        <f>+resteconomy!AD34+resteconomy!V34/1000</f>
        <v>290.86814111495897</v>
      </c>
      <c r="AE34" s="24">
        <f t="shared" si="11"/>
        <v>0.19656216292818288</v>
      </c>
      <c r="AF34" s="24">
        <f>+resteconomy!AD34/E34</f>
        <v>0.15795784369118668</v>
      </c>
      <c r="AG34" s="24">
        <f t="shared" si="12"/>
        <v>3.8604319236996198E-2</v>
      </c>
    </row>
    <row r="35" spans="1:33" x14ac:dyDescent="0.2">
      <c r="A35">
        <f t="shared" si="13"/>
        <v>1733</v>
      </c>
      <c r="B35" s="25">
        <f>+'Agricultural production'!AJ36</f>
        <v>960.64978548262468</v>
      </c>
      <c r="C35" s="25">
        <f>+'incomeVOC and total income'!U35</f>
        <v>249.81145135882664</v>
      </c>
      <c r="D35" s="25">
        <f>+resteconomy!Q35/1000</f>
        <v>222.76251485846825</v>
      </c>
      <c r="E35" s="25">
        <f t="shared" si="0"/>
        <v>1433.2237516999196</v>
      </c>
      <c r="F35" s="25"/>
      <c r="G35" s="25">
        <f t="shared" si="1"/>
        <v>274.60434190241597</v>
      </c>
      <c r="H35" s="25">
        <f>+Population!X36/38.04</f>
        <v>283.22653888979607</v>
      </c>
      <c r="I35" s="25">
        <f>1000*E35/Population!X36</f>
        <v>133.02692228007976</v>
      </c>
      <c r="J35" s="41">
        <f>+'incomeVOC and total income'!G35/7.69</f>
        <v>20.515336845472973</v>
      </c>
      <c r="K35" s="25">
        <f t="shared" si="2"/>
        <v>91.940089323486092</v>
      </c>
      <c r="L35" s="25">
        <f>+(J35*100/22.31381)*0.53+0.47*'Agricultural production'!AS36/0.93226</f>
        <v>102.33788114649161</v>
      </c>
      <c r="M35" s="25">
        <f t="shared" si="3"/>
        <v>129.98795831003997</v>
      </c>
      <c r="N35" s="25">
        <f>+M35/(Population!O36/Population!X36)</f>
        <v>69.617228239861717</v>
      </c>
      <c r="O35" s="25"/>
      <c r="P35" s="24">
        <f t="shared" si="4"/>
        <v>0.6702720244087611</v>
      </c>
      <c r="Q35" s="24">
        <f t="shared" si="5"/>
        <v>0.17430038475327386</v>
      </c>
      <c r="R35" s="24">
        <f t="shared" si="6"/>
        <v>0.15542759083796501</v>
      </c>
      <c r="S35" s="25"/>
      <c r="T35" s="25">
        <f>((1000*E35)-J35*(Population!W36+Population!R36))/Population!T36</f>
        <v>302.30832012154303</v>
      </c>
      <c r="U35" s="25">
        <f t="shared" si="7"/>
        <v>295.40216851744628</v>
      </c>
      <c r="W35" s="24">
        <v>1.0277240608928178</v>
      </c>
      <c r="X35" s="47">
        <v>170.22911754137201</v>
      </c>
      <c r="Y35" s="48">
        <v>2196.3663582601598</v>
      </c>
      <c r="Z35" s="25">
        <f t="shared" si="8"/>
        <v>1372.207198015735</v>
      </c>
      <c r="AA35" s="25">
        <f t="shared" si="9"/>
        <v>3118.3887124549778</v>
      </c>
      <c r="AB35" s="25">
        <f t="shared" si="10"/>
        <v>734.90854798097166</v>
      </c>
      <c r="AC35" s="49">
        <v>1643.742368324984</v>
      </c>
      <c r="AD35" s="41">
        <f>+resteconomy!AD35+resteconomy!V35/1000</f>
        <v>186.71012323179002</v>
      </c>
      <c r="AE35" s="24">
        <f t="shared" si="11"/>
        <v>0.13027283633161721</v>
      </c>
      <c r="AF35" s="24">
        <f>+resteconomy!AD35/E35</f>
        <v>0.11424623153399337</v>
      </c>
      <c r="AG35" s="24">
        <f t="shared" si="12"/>
        <v>1.6026604797623842E-2</v>
      </c>
    </row>
    <row r="36" spans="1:33" x14ac:dyDescent="0.2">
      <c r="A36">
        <f t="shared" si="13"/>
        <v>1734</v>
      </c>
      <c r="B36" s="25">
        <f>+'Agricultural production'!AJ37</f>
        <v>1002.3237012653824</v>
      </c>
      <c r="C36" s="25">
        <f>+'incomeVOC and total income'!U36</f>
        <v>247.58447618353398</v>
      </c>
      <c r="D36" s="25">
        <f>+resteconomy!Q36/1000</f>
        <v>203.57387947883598</v>
      </c>
      <c r="E36" s="25">
        <f t="shared" si="0"/>
        <v>1453.4820569277524</v>
      </c>
      <c r="F36" s="25"/>
      <c r="G36" s="25">
        <f t="shared" si="1"/>
        <v>268.06424082101012</v>
      </c>
      <c r="H36" s="25">
        <f>+Population!X37/38.04</f>
        <v>306.40808926665909</v>
      </c>
      <c r="I36" s="25">
        <f>1000*E36/Population!X37</f>
        <v>124.70071394545245</v>
      </c>
      <c r="J36" s="41">
        <f>+'incomeVOC and total income'!G36/7.69</f>
        <v>20.48115119324676</v>
      </c>
      <c r="K36" s="25">
        <f t="shared" si="2"/>
        <v>91.7868853111448</v>
      </c>
      <c r="L36" s="25">
        <f>+(J36*100/22.31381)*0.53+0.47*'Agricultural production'!AS37/0.93226</f>
        <v>106.31648625630581</v>
      </c>
      <c r="M36" s="25">
        <f t="shared" si="3"/>
        <v>117.29198202132666</v>
      </c>
      <c r="N36" s="25">
        <f>+M36/(Population!O37/Population!X37)</f>
        <v>61.566812034772553</v>
      </c>
      <c r="O36" s="25"/>
      <c r="P36" s="24">
        <f t="shared" si="4"/>
        <v>0.68960170267530485</v>
      </c>
      <c r="Q36" s="24">
        <f t="shared" si="5"/>
        <v>0.17033885970829055</v>
      </c>
      <c r="R36" s="24">
        <f t="shared" si="6"/>
        <v>0.1400594376164046</v>
      </c>
      <c r="S36" s="25"/>
      <c r="T36" s="25">
        <f>((1000*E36)-J36*(Population!W37+Population!R37))/Population!T37</f>
        <v>277.25574330520556</v>
      </c>
      <c r="U36" s="25">
        <f t="shared" si="7"/>
        <v>260.78339594181335</v>
      </c>
      <c r="W36" s="24">
        <v>1.0573892053437242</v>
      </c>
      <c r="X36" s="47">
        <v>178.60706208730764</v>
      </c>
      <c r="Y36" s="48">
        <v>2271.6512825780933</v>
      </c>
      <c r="Z36" s="25">
        <f t="shared" si="8"/>
        <v>1238.1831678232097</v>
      </c>
      <c r="AA36" s="25">
        <f t="shared" si="9"/>
        <v>2752.9384851235427</v>
      </c>
      <c r="AB36" s="25">
        <f t="shared" si="10"/>
        <v>649.92499098642622</v>
      </c>
      <c r="AC36" s="49">
        <v>1677.0484117732697</v>
      </c>
      <c r="AD36" s="41">
        <f>+resteconomy!AD36+resteconomy!V36/1000</f>
        <v>164.86392228994441</v>
      </c>
      <c r="AE36" s="24">
        <f t="shared" si="11"/>
        <v>0.11342687135637564</v>
      </c>
      <c r="AF36" s="24">
        <f>+resteconomy!AD36/E36</f>
        <v>9.8660210072798016E-2</v>
      </c>
      <c r="AG36" s="24">
        <f t="shared" si="12"/>
        <v>1.476666128357762E-2</v>
      </c>
    </row>
    <row r="37" spans="1:33" x14ac:dyDescent="0.2">
      <c r="A37">
        <f t="shared" si="13"/>
        <v>1735</v>
      </c>
      <c r="B37" s="25">
        <f>+'Agricultural production'!AJ38</f>
        <v>987.19757991854453</v>
      </c>
      <c r="C37" s="25">
        <f>+'incomeVOC and total income'!U37</f>
        <v>227.27310854886451</v>
      </c>
      <c r="D37" s="25">
        <f>+resteconomy!Q37/1000</f>
        <v>240.11075965829588</v>
      </c>
      <c r="E37" s="25">
        <f t="shared" si="0"/>
        <v>1454.5814481257048</v>
      </c>
      <c r="F37" s="25"/>
      <c r="G37" s="25">
        <f t="shared" si="1"/>
        <v>280.62617647929977</v>
      </c>
      <c r="H37" s="25">
        <f>+Population!X38/38.04</f>
        <v>319.79265212303608</v>
      </c>
      <c r="I37" s="25">
        <f>1000*E37/Population!X38</f>
        <v>119.5718793463415</v>
      </c>
      <c r="J37" s="41">
        <f>+'incomeVOC and total income'!G37/7.69</f>
        <v>20.446956765812203</v>
      </c>
      <c r="K37" s="25">
        <f t="shared" si="2"/>
        <v>91.633641972447563</v>
      </c>
      <c r="L37" s="25">
        <f>+(J37*100/22.31381)*0.53+0.47*'Agricultural production'!AS38/0.93226</f>
        <v>101.63415695226047</v>
      </c>
      <c r="M37" s="25">
        <f t="shared" si="3"/>
        <v>117.64930504860362</v>
      </c>
      <c r="N37" s="25">
        <f>+M37/(Population!O38/Population!X38)</f>
        <v>62.050454180899386</v>
      </c>
      <c r="O37" s="25"/>
      <c r="P37" s="24">
        <f t="shared" si="4"/>
        <v>0.67868154182125318</v>
      </c>
      <c r="Q37" s="24">
        <f t="shared" si="5"/>
        <v>0.15624639571865595</v>
      </c>
      <c r="R37" s="24">
        <f t="shared" si="6"/>
        <v>0.16507206246009093</v>
      </c>
      <c r="S37" s="25"/>
      <c r="T37" s="25">
        <f>((1000*E37)-J37*(Population!W38+Population!R38))/Population!T38</f>
        <v>270.99069731750643</v>
      </c>
      <c r="U37" s="25">
        <f t="shared" si="7"/>
        <v>266.63348764214771</v>
      </c>
      <c r="W37" s="24">
        <v>0.96567316897373179</v>
      </c>
      <c r="X37" s="47">
        <v>178.12429363543311</v>
      </c>
      <c r="Y37" s="48">
        <v>2268.8562519903153</v>
      </c>
      <c r="Z37" s="25">
        <f t="shared" si="8"/>
        <v>1241.9552189918013</v>
      </c>
      <c r="AA37" s="25">
        <f t="shared" si="9"/>
        <v>2814.6944973312584</v>
      </c>
      <c r="AB37" s="25">
        <f t="shared" si="10"/>
        <v>655.03051955081901</v>
      </c>
      <c r="AC37" s="49">
        <v>1658.7718923738312</v>
      </c>
      <c r="AD37" s="41">
        <f>+resteconomy!AD37+resteconomy!V37/1000</f>
        <v>138.01388930731864</v>
      </c>
      <c r="AE37" s="24">
        <f t="shared" si="11"/>
        <v>9.4882200983077217E-2</v>
      </c>
      <c r="AF37" s="24">
        <f>+resteconomy!AD37/E37</f>
        <v>8.0884588915513367E-2</v>
      </c>
      <c r="AG37" s="24">
        <f t="shared" si="12"/>
        <v>1.399761206756385E-2</v>
      </c>
    </row>
    <row r="38" spans="1:33" x14ac:dyDescent="0.2">
      <c r="A38">
        <f t="shared" si="13"/>
        <v>1736</v>
      </c>
      <c r="B38" s="25">
        <f>+'Agricultural production'!AJ39</f>
        <v>893.27214773893729</v>
      </c>
      <c r="C38" s="25">
        <f>+'incomeVOC and total income'!U38</f>
        <v>281.63691987106318</v>
      </c>
      <c r="D38" s="25">
        <f>+resteconomy!Q38/1000</f>
        <v>223.86235061605731</v>
      </c>
      <c r="E38" s="25">
        <f t="shared" si="0"/>
        <v>1398.7714182260579</v>
      </c>
      <c r="F38" s="25"/>
      <c r="G38" s="25">
        <f t="shared" si="1"/>
        <v>266.42250929609412</v>
      </c>
      <c r="H38" s="25">
        <f>+Population!X39/38.04</f>
        <v>327.90933804307139</v>
      </c>
      <c r="I38" s="25">
        <f>1000*E38/Population!X39</f>
        <v>112.13790981420698</v>
      </c>
      <c r="J38" s="41">
        <f>+'incomeVOC and total income'!G38/7.69</f>
        <v>20.412856885150145</v>
      </c>
      <c r="K38" s="25">
        <f t="shared" si="2"/>
        <v>91.48082234790985</v>
      </c>
      <c r="L38" s="25">
        <f>+(J38*100/22.31381)*0.53+0.47*'Agricultural production'!AS39/0.93226</f>
        <v>102.94509508943436</v>
      </c>
      <c r="M38" s="25">
        <f t="shared" si="3"/>
        <v>108.9298229476463</v>
      </c>
      <c r="N38" s="25">
        <f>+M38/(Population!O39/Population!X39)</f>
        <v>57.519180098428983</v>
      </c>
      <c r="O38" s="25"/>
      <c r="P38" s="24">
        <f t="shared" si="4"/>
        <v>0.63861195338963817</v>
      </c>
      <c r="Q38" s="24">
        <f t="shared" si="5"/>
        <v>0.20134592128586612</v>
      </c>
      <c r="R38" s="24">
        <f t="shared" si="6"/>
        <v>0.16004212532449569</v>
      </c>
      <c r="S38" s="25"/>
      <c r="T38" s="25">
        <f>((1000*E38)-J38*(Population!W39+Population!R39))/Population!T39</f>
        <v>251.66137464496379</v>
      </c>
      <c r="U38" s="25">
        <f t="shared" si="7"/>
        <v>244.46174383182705</v>
      </c>
      <c r="W38" s="24">
        <v>1.0176744012282002</v>
      </c>
      <c r="X38" s="47">
        <v>171.13556527766863</v>
      </c>
      <c r="Y38" s="48">
        <v>2186.6609226980268</v>
      </c>
      <c r="Z38" s="25">
        <f t="shared" si="8"/>
        <v>1149.9087228589447</v>
      </c>
      <c r="AA38" s="25">
        <f t="shared" si="9"/>
        <v>2580.6403061228957</v>
      </c>
      <c r="AB38" s="25">
        <f t="shared" si="10"/>
        <v>607.1964971306993</v>
      </c>
      <c r="AC38" s="49">
        <v>1615.3710147147699</v>
      </c>
      <c r="AD38" s="41">
        <f>+resteconomy!AD38+resteconomy!V38/1000</f>
        <v>70.556107322460988</v>
      </c>
      <c r="AE38" s="24">
        <f t="shared" si="11"/>
        <v>5.0441484865297904E-2</v>
      </c>
      <c r="AF38" s="24">
        <f>+resteconomy!AD38/E38</f>
        <v>4.6139284784483613E-2</v>
      </c>
      <c r="AG38" s="24">
        <f t="shared" si="12"/>
        <v>4.3022000808142918E-3</v>
      </c>
    </row>
    <row r="39" spans="1:33" x14ac:dyDescent="0.2">
      <c r="A39">
        <f t="shared" si="13"/>
        <v>1737</v>
      </c>
      <c r="B39" s="25">
        <f>+'Agricultural production'!AJ40</f>
        <v>865.92389775629238</v>
      </c>
      <c r="C39" s="25">
        <f>+'incomeVOC and total income'!U39</f>
        <v>306.63556585768322</v>
      </c>
      <c r="D39" s="25">
        <f>+resteconomy!Q39/1000</f>
        <v>276.09334460925703</v>
      </c>
      <c r="E39" s="25">
        <f t="shared" si="0"/>
        <v>1448.6528082232326</v>
      </c>
      <c r="F39" s="25"/>
      <c r="G39" s="25">
        <f t="shared" si="1"/>
        <v>288.75151568886457</v>
      </c>
      <c r="H39" s="25">
        <f>+Population!X40/38.04</f>
        <v>327.38513020394481</v>
      </c>
      <c r="I39" s="25">
        <f>1000*E39/Population!X40</f>
        <v>116.32280185664553</v>
      </c>
      <c r="J39" s="41">
        <f>+'incomeVOC and total income'!G39/7.69</f>
        <v>20.440774075582357</v>
      </c>
      <c r="K39" s="25">
        <f t="shared" si="2"/>
        <v>91.605934063175937</v>
      </c>
      <c r="L39" s="25">
        <f>+(J39*100/22.31381)*0.53+0.47*'Agricultural production'!AS40/0.93226</f>
        <v>98.371629171262441</v>
      </c>
      <c r="M39" s="25">
        <f t="shared" si="3"/>
        <v>118.24832305474027</v>
      </c>
      <c r="N39" s="25">
        <f>+M39/(Population!O40/Population!X40)</f>
        <v>62.871626333139872</v>
      </c>
      <c r="O39" s="25"/>
      <c r="P39" s="24">
        <f t="shared" si="4"/>
        <v>0.59774425786558538</v>
      </c>
      <c r="Q39" s="24">
        <f t="shared" si="5"/>
        <v>0.21166946566981126</v>
      </c>
      <c r="R39" s="24">
        <f t="shared" si="6"/>
        <v>0.19058627646460335</v>
      </c>
      <c r="S39" s="25"/>
      <c r="T39" s="25">
        <f>((1000*E39)-J39*(Population!W40+Population!R40))/Population!T40</f>
        <v>263.49353637586643</v>
      </c>
      <c r="U39" s="25">
        <f t="shared" si="7"/>
        <v>267.85521251979168</v>
      </c>
      <c r="W39" s="24">
        <v>0.9710345055076246</v>
      </c>
      <c r="X39" s="47">
        <v>168.58773417832424</v>
      </c>
      <c r="Y39" s="48">
        <v>2159.3331939755626</v>
      </c>
      <c r="Z39" s="25">
        <f t="shared" si="8"/>
        <v>1248.2787033394916</v>
      </c>
      <c r="AA39" s="25">
        <f t="shared" si="9"/>
        <v>2827.5915355869051</v>
      </c>
      <c r="AB39" s="25">
        <f t="shared" si="10"/>
        <v>663.69915588270806</v>
      </c>
      <c r="AC39" s="49">
        <v>1571.9397835668653</v>
      </c>
      <c r="AD39" s="41">
        <f>+resteconomy!AD39+resteconomy!V39/1000</f>
        <v>106.8785014455764</v>
      </c>
      <c r="AE39" s="24">
        <f t="shared" si="11"/>
        <v>7.3777858185815073E-2</v>
      </c>
      <c r="AF39" s="24">
        <f>+resteconomy!AD39/E39</f>
        <v>5.8544856809063815E-2</v>
      </c>
      <c r="AG39" s="24">
        <f t="shared" si="12"/>
        <v>1.5233001376751258E-2</v>
      </c>
    </row>
    <row r="40" spans="1:33" x14ac:dyDescent="0.2">
      <c r="A40">
        <f t="shared" si="13"/>
        <v>1738</v>
      </c>
      <c r="B40" s="25">
        <f>+'Agricultural production'!AJ41</f>
        <v>822.51535761693151</v>
      </c>
      <c r="C40" s="25">
        <f>+'incomeVOC and total income'!U40</f>
        <v>287.9444641891929</v>
      </c>
      <c r="D40" s="25">
        <f>+resteconomy!Q40/1000</f>
        <v>310.68162550349575</v>
      </c>
      <c r="E40" s="25">
        <f t="shared" si="0"/>
        <v>1421.1414473096202</v>
      </c>
      <c r="F40" s="25"/>
      <c r="G40" s="25">
        <f t="shared" si="1"/>
        <v>299.6074077339083</v>
      </c>
      <c r="H40" s="25">
        <f>+Population!X41/38.04</f>
        <v>330.30467472426125</v>
      </c>
      <c r="I40" s="25">
        <f>1000*E40/Population!X41</f>
        <v>113.10507114978583</v>
      </c>
      <c r="J40" s="41">
        <f>+'incomeVOC and total income'!G40/7.69</f>
        <v>20.461073830115584</v>
      </c>
      <c r="K40" s="25">
        <f t="shared" si="2"/>
        <v>91.69690801398589</v>
      </c>
      <c r="L40" s="25">
        <f>+(J40*100/22.31381)*0.53+0.47*'Agricultural production'!AS41/0.93226</f>
        <v>93.006774383384965</v>
      </c>
      <c r="M40" s="25">
        <f t="shared" si="3"/>
        <v>121.60949769481662</v>
      </c>
      <c r="N40" s="25">
        <f>+M40/(Population!O41/Population!X41)</f>
        <v>64.559617881914434</v>
      </c>
      <c r="O40" s="25"/>
      <c r="P40" s="24">
        <f t="shared" si="4"/>
        <v>0.57877093034901284</v>
      </c>
      <c r="Q40" s="24">
        <f t="shared" si="5"/>
        <v>0.20261492248664198</v>
      </c>
      <c r="R40" s="24">
        <f t="shared" si="6"/>
        <v>0.21861414716434516</v>
      </c>
      <c r="S40" s="25"/>
      <c r="T40" s="25">
        <f>((1000*E40)-J40*(Population!W41+Population!R41))/Population!T41</f>
        <v>248.25499223079527</v>
      </c>
      <c r="U40" s="25">
        <f t="shared" si="7"/>
        <v>266.92140854972422</v>
      </c>
      <c r="W40" s="24">
        <v>0.920653621908748</v>
      </c>
      <c r="X40" s="47">
        <v>166.3008999081494</v>
      </c>
      <c r="Y40" s="48">
        <v>2176.1558751310822</v>
      </c>
      <c r="Z40" s="25">
        <f t="shared" si="8"/>
        <v>1283.7606671680171</v>
      </c>
      <c r="AA40" s="25">
        <f t="shared" si="9"/>
        <v>2817.7339107274856</v>
      </c>
      <c r="AB40" s="25">
        <f t="shared" si="10"/>
        <v>681.51829992906289</v>
      </c>
      <c r="AC40" s="49">
        <v>1646.9723226630258</v>
      </c>
      <c r="AD40" s="41">
        <f>+resteconomy!AD40+resteconomy!V40/1000</f>
        <v>191.87792623457065</v>
      </c>
      <c r="AE40" s="24">
        <f t="shared" si="11"/>
        <v>0.13501676880778971</v>
      </c>
      <c r="AF40" s="24">
        <f>+resteconomy!AD40/E40</f>
        <v>9.1687703026121975E-2</v>
      </c>
      <c r="AG40" s="24">
        <f t="shared" si="12"/>
        <v>4.332906578166773E-2</v>
      </c>
    </row>
    <row r="41" spans="1:33" x14ac:dyDescent="0.2">
      <c r="A41">
        <f t="shared" si="13"/>
        <v>1739</v>
      </c>
      <c r="B41" s="25">
        <f>+'Agricultural production'!AJ42</f>
        <v>830.33656403048235</v>
      </c>
      <c r="C41" s="25">
        <f>+'incomeVOC and total income'!U41</f>
        <v>297.29267981575532</v>
      </c>
      <c r="D41" s="25">
        <f>+resteconomy!Q41/1000</f>
        <v>257.77645958632803</v>
      </c>
      <c r="E41" s="25">
        <f t="shared" si="0"/>
        <v>1385.4057034325656</v>
      </c>
      <c r="F41" s="25"/>
      <c r="G41" s="25">
        <f t="shared" si="1"/>
        <v>282.05113415113186</v>
      </c>
      <c r="H41" s="25">
        <f>+Population!X42/38.04</f>
        <v>328.97424456208631</v>
      </c>
      <c r="I41" s="25">
        <f>1000*E41/Population!X42</f>
        <v>110.70686807293526</v>
      </c>
      <c r="J41" s="41">
        <f>+'incomeVOC and total income'!G41/7.69</f>
        <v>20.48509695064358</v>
      </c>
      <c r="K41" s="25">
        <f t="shared" si="2"/>
        <v>91.804568339712404</v>
      </c>
      <c r="L41" s="25">
        <f>+(J41*100/22.31381)*0.53+0.47*'Agricultural production'!AS42/0.93226</f>
        <v>96.311676945104097</v>
      </c>
      <c r="M41" s="25">
        <f t="shared" si="3"/>
        <v>114.94646504393872</v>
      </c>
      <c r="N41" s="25">
        <f>+M41/(Population!O42/Population!X42)</f>
        <v>61.967841608481137</v>
      </c>
      <c r="O41" s="25"/>
      <c r="P41" s="24">
        <f t="shared" si="4"/>
        <v>0.59934542060364693</v>
      </c>
      <c r="Q41" s="24">
        <f t="shared" si="5"/>
        <v>0.21458889556984273</v>
      </c>
      <c r="R41" s="24">
        <f t="shared" si="6"/>
        <v>0.18606568382651043</v>
      </c>
      <c r="S41" s="25"/>
      <c r="T41" s="25">
        <f>((1000*E41)-J41*(Population!W42+Population!R42))/Population!T42</f>
        <v>245.95750592765944</v>
      </c>
      <c r="U41" s="25">
        <f t="shared" si="7"/>
        <v>255.37662070597187</v>
      </c>
      <c r="W41" s="24">
        <v>0.72403580710460391</v>
      </c>
      <c r="X41" s="47">
        <v>168.4230313338962</v>
      </c>
      <c r="Y41" s="48">
        <v>2177.1670416437223</v>
      </c>
      <c r="Z41" s="25">
        <f t="shared" si="8"/>
        <v>1213.4229106325922</v>
      </c>
      <c r="AA41" s="25">
        <f t="shared" si="9"/>
        <v>2695.8623067364724</v>
      </c>
      <c r="AB41" s="25">
        <f t="shared" si="10"/>
        <v>654.15842672012366</v>
      </c>
      <c r="AC41" s="49">
        <v>1647.3714688983721</v>
      </c>
      <c r="AD41" s="41">
        <f>+resteconomy!AD41+resteconomy!V41/1000</f>
        <v>212.92520506289122</v>
      </c>
      <c r="AE41" s="24">
        <f t="shared" si="11"/>
        <v>0.15369158978870576</v>
      </c>
      <c r="AF41" s="24">
        <f>+resteconomy!AD41/E41</f>
        <v>0.13406864971104096</v>
      </c>
      <c r="AG41" s="24">
        <f t="shared" si="12"/>
        <v>1.9622940077664797E-2</v>
      </c>
    </row>
    <row r="42" spans="1:33" x14ac:dyDescent="0.2">
      <c r="A42">
        <f t="shared" si="13"/>
        <v>1740</v>
      </c>
      <c r="B42" s="25">
        <f>+'Agricultural production'!AJ43</f>
        <v>907.17573178433747</v>
      </c>
      <c r="C42" s="25">
        <f>+'incomeVOC and total income'!U42</f>
        <v>261.46984757951407</v>
      </c>
      <c r="D42" s="25">
        <f>+resteconomy!Q42/1000</f>
        <v>258.57451899402656</v>
      </c>
      <c r="E42" s="25">
        <f t="shared" si="0"/>
        <v>1427.2200983578782</v>
      </c>
      <c r="F42" s="25"/>
      <c r="G42" s="25">
        <f t="shared" si="1"/>
        <v>290.3793436352405</v>
      </c>
      <c r="H42" s="25">
        <f>+Population!X43/38.04</f>
        <v>323.85299684898268</v>
      </c>
      <c r="I42" s="25">
        <f>1000*E42/Population!X43</f>
        <v>115.85173024640577</v>
      </c>
      <c r="J42" s="41">
        <f>+'incomeVOC and total income'!G42/7.69</f>
        <v>20.510884920261876</v>
      </c>
      <c r="K42" s="25">
        <f t="shared" si="2"/>
        <v>91.920137888876326</v>
      </c>
      <c r="L42" s="25">
        <f>+(J42*100/22.31381)*0.53+0.47*'Agricultural production'!AS43/0.93226</f>
        <v>96.372928806160985</v>
      </c>
      <c r="M42" s="25">
        <f t="shared" si="3"/>
        <v>120.21190149717597</v>
      </c>
      <c r="N42" s="25">
        <f>+M42/(Population!O43/Population!X43)</f>
        <v>64.388620095860546</v>
      </c>
      <c r="O42" s="25"/>
      <c r="P42" s="24">
        <f t="shared" si="4"/>
        <v>0.63562426904449421</v>
      </c>
      <c r="Q42" s="24">
        <f t="shared" si="5"/>
        <v>0.18320218996380053</v>
      </c>
      <c r="R42" s="24">
        <f t="shared" si="6"/>
        <v>0.18117354099170518</v>
      </c>
      <c r="S42" s="25"/>
      <c r="T42" s="25">
        <f>((1000*E42)-J42*(Population!W43+Population!R43))/Population!T43</f>
        <v>238.41797005416191</v>
      </c>
      <c r="U42" s="25">
        <f t="shared" si="7"/>
        <v>247.39101841939683</v>
      </c>
      <c r="W42" s="24">
        <v>0.73180305228845421</v>
      </c>
      <c r="X42" s="47">
        <v>181.22633341928076</v>
      </c>
      <c r="Y42" s="48">
        <v>2160.3007941884298</v>
      </c>
      <c r="Z42" s="25">
        <f t="shared" si="8"/>
        <v>1269.0070577779247</v>
      </c>
      <c r="AA42" s="25">
        <f t="shared" si="9"/>
        <v>2611.5629525455788</v>
      </c>
      <c r="AB42" s="25">
        <f t="shared" si="10"/>
        <v>679.71317585512179</v>
      </c>
      <c r="AC42" s="49">
        <v>1582.1501438937369</v>
      </c>
      <c r="AD42" s="41">
        <f>+resteconomy!AD42+resteconomy!V42/1000</f>
        <v>271.63254457599146</v>
      </c>
      <c r="AE42" s="24">
        <f t="shared" si="11"/>
        <v>0.19032281348092331</v>
      </c>
      <c r="AF42" s="24">
        <f>+resteconomy!AD42/E42</f>
        <v>0.16114601065329634</v>
      </c>
      <c r="AG42" s="24">
        <f t="shared" si="12"/>
        <v>2.9176802827626969E-2</v>
      </c>
    </row>
    <row r="43" spans="1:33" x14ac:dyDescent="0.2">
      <c r="A43">
        <f t="shared" si="13"/>
        <v>1741</v>
      </c>
      <c r="B43" s="25">
        <f>+'Agricultural production'!AJ44</f>
        <v>1176.6423569064732</v>
      </c>
      <c r="C43" s="25">
        <f>+'incomeVOC and total income'!U43</f>
        <v>363.15120466214898</v>
      </c>
      <c r="D43" s="25">
        <f>+resteconomy!Q43/1000</f>
        <v>271.99405885749451</v>
      </c>
      <c r="E43" s="25">
        <f t="shared" si="0"/>
        <v>1811.7876204261167</v>
      </c>
      <c r="F43" s="25"/>
      <c r="G43" s="25">
        <f t="shared" si="1"/>
        <v>345.95223977462541</v>
      </c>
      <c r="H43" s="25">
        <f>+Population!X44/38.04</f>
        <v>348.88748518065194</v>
      </c>
      <c r="I43" s="25">
        <f>1000*E43/Population!X44</f>
        <v>136.51531901959399</v>
      </c>
      <c r="J43" s="41">
        <f>+'incomeVOC and total income'!G43/7.69</f>
        <v>20.533276506780503</v>
      </c>
      <c r="K43" s="25">
        <f t="shared" si="2"/>
        <v>92.020486446646728</v>
      </c>
      <c r="L43" s="25">
        <f>+(J43*100/22.31381)*0.53+0.47*'Agricultural production'!AS44/0.93226</f>
        <v>102.68830021877862</v>
      </c>
      <c r="M43" s="25">
        <f t="shared" si="3"/>
        <v>132.94145363078999</v>
      </c>
      <c r="N43" s="25">
        <f>+M43/(Population!O44/Population!X44)</f>
        <v>69.895232776145306</v>
      </c>
      <c r="O43" s="25"/>
      <c r="P43" s="24">
        <f t="shared" si="4"/>
        <v>0.64943724288707583</v>
      </c>
      <c r="Q43" s="24">
        <f t="shared" si="5"/>
        <v>0.20043806490781682</v>
      </c>
      <c r="R43" s="24">
        <f t="shared" si="6"/>
        <v>0.15012469220510727</v>
      </c>
      <c r="S43" s="25"/>
      <c r="T43" s="25">
        <f>((1000*E43)-J43*(Population!W44+Population!R44))/Population!T44</f>
        <v>303.25598036947162</v>
      </c>
      <c r="U43" s="25">
        <f t="shared" si="7"/>
        <v>295.31697352413198</v>
      </c>
      <c r="W43" s="24">
        <v>0.79633465311686646</v>
      </c>
      <c r="X43" s="47">
        <v>183.29216053442821</v>
      </c>
      <c r="Y43" s="48">
        <v>2145.2707750472887</v>
      </c>
      <c r="Z43" s="25">
        <f t="shared" si="8"/>
        <v>1403.3855286175005</v>
      </c>
      <c r="AA43" s="25">
        <f t="shared" si="9"/>
        <v>3117.4893585103459</v>
      </c>
      <c r="AB43" s="25">
        <f t="shared" si="10"/>
        <v>737.84328001868437</v>
      </c>
      <c r="AC43" s="49">
        <v>1587.5919780778515</v>
      </c>
      <c r="AD43" s="41">
        <f>+resteconomy!AD43+resteconomy!V43/1000</f>
        <v>236.90201386965543</v>
      </c>
      <c r="AE43" s="24">
        <f t="shared" si="11"/>
        <v>0.13075595130401549</v>
      </c>
      <c r="AF43" s="24">
        <f>+resteconomy!AD43/E43</f>
        <v>0.11352926610820452</v>
      </c>
      <c r="AG43" s="24">
        <f t="shared" si="12"/>
        <v>1.722668519581097E-2</v>
      </c>
    </row>
    <row r="44" spans="1:33" x14ac:dyDescent="0.2">
      <c r="A44">
        <f t="shared" si="13"/>
        <v>1742</v>
      </c>
      <c r="B44" s="25">
        <f>+'Agricultural production'!AJ45</f>
        <v>1048.2679122566476</v>
      </c>
      <c r="C44" s="25">
        <f>+'incomeVOC and total income'!U44</f>
        <v>369.7552677593045</v>
      </c>
      <c r="D44" s="25">
        <f>+resteconomy!Q44/1000</f>
        <v>259.15801501414387</v>
      </c>
      <c r="E44" s="25">
        <f t="shared" si="0"/>
        <v>1677.181195030096</v>
      </c>
      <c r="F44" s="25"/>
      <c r="G44" s="25">
        <f t="shared" si="1"/>
        <v>320.03675061365846</v>
      </c>
      <c r="H44" s="25">
        <f>+Population!X45/38.04</f>
        <v>326.59319761159168</v>
      </c>
      <c r="I44" s="25">
        <f>1000*E44/Population!X45</f>
        <v>134.99955632971535</v>
      </c>
      <c r="J44" s="41">
        <f>+'incomeVOC and total income'!G44/7.69</f>
        <v>20.65320052101908</v>
      </c>
      <c r="K44" s="25">
        <f t="shared" si="2"/>
        <v>92.557929466187446</v>
      </c>
      <c r="L44" s="25">
        <f>+(J44*100/22.31381)*0.53+0.47*'Agricultural production'!AS45/0.93226</f>
        <v>102.75665442123868</v>
      </c>
      <c r="M44" s="25">
        <f t="shared" si="3"/>
        <v>131.37792106027578</v>
      </c>
      <c r="N44" s="25">
        <f>+M44/(Population!O45/Population!X45)</f>
        <v>71.329081574260201</v>
      </c>
      <c r="O44" s="25"/>
      <c r="P44" s="24">
        <f t="shared" si="4"/>
        <v>0.62501768763144105</v>
      </c>
      <c r="Q44" s="24">
        <f t="shared" si="5"/>
        <v>0.22046232622627843</v>
      </c>
      <c r="R44" s="24">
        <f t="shared" si="6"/>
        <v>0.15451998614228049</v>
      </c>
      <c r="S44" s="25"/>
      <c r="T44" s="25">
        <f>((1000*E44)-J44*(Population!W45+Population!R45))/Population!T45</f>
        <v>276.1353824429043</v>
      </c>
      <c r="U44" s="25">
        <f t="shared" si="7"/>
        <v>268.72749409582775</v>
      </c>
      <c r="W44" s="24">
        <v>0.91828348170343932</v>
      </c>
      <c r="X44" s="47">
        <v>182.2601105019674</v>
      </c>
      <c r="Y44" s="48">
        <v>2276.1553081288694</v>
      </c>
      <c r="Z44" s="25">
        <f t="shared" si="8"/>
        <v>1386.8802255457013</v>
      </c>
      <c r="AA44" s="25">
        <f t="shared" si="9"/>
        <v>2836.7997043503401</v>
      </c>
      <c r="AB44" s="25">
        <f t="shared" si="10"/>
        <v>752.9795870060334</v>
      </c>
      <c r="AC44" s="49">
        <v>1649.8799214119085</v>
      </c>
      <c r="AD44" s="41">
        <f>+resteconomy!AD44+resteconomy!V44/1000</f>
        <v>171.07129005612492</v>
      </c>
      <c r="AE44" s="24">
        <f t="shared" si="11"/>
        <v>0.10199928938092771</v>
      </c>
      <c r="AF44" s="24">
        <f>+resteconomy!AD44/E44</f>
        <v>8.1429061129959929E-2</v>
      </c>
      <c r="AG44" s="24">
        <f t="shared" si="12"/>
        <v>2.0570228250967784E-2</v>
      </c>
    </row>
    <row r="45" spans="1:33" x14ac:dyDescent="0.2">
      <c r="A45">
        <f t="shared" si="13"/>
        <v>1743</v>
      </c>
      <c r="B45" s="25">
        <f>+'Agricultural production'!AJ46</f>
        <v>1008.5991276269971</v>
      </c>
      <c r="C45" s="25">
        <f>+'incomeVOC and total income'!U45</f>
        <v>355.76887118246611</v>
      </c>
      <c r="D45" s="25">
        <f>+resteconomy!Q45/1000</f>
        <v>323.78447690844706</v>
      </c>
      <c r="E45" s="25">
        <f t="shared" si="0"/>
        <v>1688.1524757179104</v>
      </c>
      <c r="F45" s="25"/>
      <c r="G45" s="25">
        <f t="shared" si="1"/>
        <v>342.32756620449646</v>
      </c>
      <c r="H45" s="25">
        <f>+Population!X46/38.04</f>
        <v>315.8095219222202</v>
      </c>
      <c r="I45" s="25">
        <f>1000*E45/Population!X46</f>
        <v>140.5225239143206</v>
      </c>
      <c r="J45" s="41">
        <f>+'incomeVOC and total income'!G45/8.04</f>
        <v>20.301833283449483</v>
      </c>
      <c r="K45" s="25">
        <f t="shared" si="2"/>
        <v>90.983266790608511</v>
      </c>
      <c r="L45" s="25">
        <f>+(J45*100/22.31381)*0.53+0.47*'Agricultural production'!AS46/0.93226</f>
        <v>96.694021175822357</v>
      </c>
      <c r="M45" s="25">
        <f t="shared" si="3"/>
        <v>145.32700388869262</v>
      </c>
      <c r="N45" s="25">
        <f>+M45/(Population!O46/Population!X46)</f>
        <v>80.908191187760906</v>
      </c>
      <c r="O45" s="25"/>
      <c r="P45" s="24">
        <f t="shared" si="4"/>
        <v>0.59745736367686586</v>
      </c>
      <c r="Q45" s="24">
        <f t="shared" si="5"/>
        <v>0.21074451289192372</v>
      </c>
      <c r="R45" s="24">
        <f t="shared" si="6"/>
        <v>0.1917981234312103</v>
      </c>
      <c r="S45" s="25"/>
      <c r="T45" s="25">
        <f>((1000*E45)-J45*(Population!W46+Population!R46))/Population!T46</f>
        <v>284.78680102694051</v>
      </c>
      <c r="U45" s="25">
        <f t="shared" si="7"/>
        <v>294.52369191379682</v>
      </c>
      <c r="W45" s="24">
        <v>1.0187996852169603</v>
      </c>
      <c r="X45" s="47">
        <v>178.4309329439252</v>
      </c>
      <c r="Y45" s="48">
        <v>2307.8337832663865</v>
      </c>
      <c r="Z45" s="25">
        <f t="shared" si="8"/>
        <v>1534.1325719301035</v>
      </c>
      <c r="AA45" s="25">
        <f t="shared" si="9"/>
        <v>3109.1151463917199</v>
      </c>
      <c r="AB45" s="25">
        <f t="shared" si="10"/>
        <v>854.10067032111851</v>
      </c>
      <c r="AC45" s="49">
        <v>1680.0481102802694</v>
      </c>
      <c r="AD45" s="41">
        <f>+resteconomy!AD45+resteconomy!V45/1000</f>
        <v>216.65341305005066</v>
      </c>
      <c r="AE45" s="24">
        <f t="shared" si="11"/>
        <v>0.12833758571358655</v>
      </c>
      <c r="AF45" s="24">
        <f>+resteconomy!AD45/E45</f>
        <v>0.10790104310488149</v>
      </c>
      <c r="AG45" s="24">
        <f t="shared" si="12"/>
        <v>2.0436542608705061E-2</v>
      </c>
    </row>
    <row r="46" spans="1:33" x14ac:dyDescent="0.2">
      <c r="A46">
        <f t="shared" si="13"/>
        <v>1744</v>
      </c>
      <c r="B46" s="25">
        <f>+'Agricultural production'!AJ47</f>
        <v>841.69627710571092</v>
      </c>
      <c r="C46" s="25">
        <f>+'incomeVOC and total income'!U46</f>
        <v>302.58173636240048</v>
      </c>
      <c r="D46" s="25">
        <f>+resteconomy!Q46/1000</f>
        <v>323.37665877488013</v>
      </c>
      <c r="E46" s="25">
        <f t="shared" si="0"/>
        <v>1467.6546722429916</v>
      </c>
      <c r="F46" s="25"/>
      <c r="G46" s="25">
        <f t="shared" si="1"/>
        <v>331.6350191600028</v>
      </c>
      <c r="H46" s="25">
        <f>+Population!X47/38.04</f>
        <v>319.43965502005136</v>
      </c>
      <c r="I46" s="25">
        <f>1000*E46/Population!X47</f>
        <v>120.7798664455711</v>
      </c>
      <c r="J46" s="41">
        <f>+'incomeVOC and total income'!G46/8.04</f>
        <v>17.890186405596978</v>
      </c>
      <c r="K46" s="25">
        <f t="shared" si="2"/>
        <v>80.175399923173032</v>
      </c>
      <c r="L46" s="25">
        <f>+(J46*100/22.31381)*0.53+0.47*'Agricultural production'!AS47/0.93226</f>
        <v>86.774740091955223</v>
      </c>
      <c r="M46" s="25">
        <f t="shared" si="3"/>
        <v>139.18781700478806</v>
      </c>
      <c r="N46" s="25">
        <f>+M46/(Population!O47/Population!X47)</f>
        <v>77.859460086944523</v>
      </c>
      <c r="O46" s="25"/>
      <c r="P46" s="24">
        <f t="shared" si="4"/>
        <v>0.57349749435223807</v>
      </c>
      <c r="Q46" s="24">
        <f t="shared" si="5"/>
        <v>0.20616684706898386</v>
      </c>
      <c r="R46" s="24">
        <f t="shared" si="6"/>
        <v>0.22033565857877799</v>
      </c>
      <c r="S46" s="25"/>
      <c r="T46" s="25">
        <f>((1000*E46)-J46*(Population!W47+Population!R47))/Population!T47</f>
        <v>243.96994307696454</v>
      </c>
      <c r="U46" s="25">
        <f t="shared" si="7"/>
        <v>281.15318215696124</v>
      </c>
      <c r="W46" s="24">
        <v>0.8968225010392632</v>
      </c>
      <c r="X46" s="47">
        <v>195.43199374232975</v>
      </c>
      <c r="Y46" s="48">
        <v>2576.6910573708292</v>
      </c>
      <c r="Z46" s="25">
        <f t="shared" si="8"/>
        <v>1469.3247501781486</v>
      </c>
      <c r="AA46" s="25">
        <f t="shared" si="9"/>
        <v>2967.97045908377</v>
      </c>
      <c r="AB46" s="25">
        <f t="shared" si="10"/>
        <v>821.9169910346385</v>
      </c>
      <c r="AC46" s="49">
        <v>1657.5310003413192</v>
      </c>
      <c r="AD46" s="41">
        <f>+resteconomy!AD46+resteconomy!V46/1000</f>
        <v>128.38605116987827</v>
      </c>
      <c r="AE46" s="24">
        <f t="shared" si="11"/>
        <v>8.7477015947946435E-2</v>
      </c>
      <c r="AF46" s="24">
        <f>+resteconomy!AD46/E46</f>
        <v>5.2194586822440582E-2</v>
      </c>
      <c r="AG46" s="24">
        <f t="shared" si="12"/>
        <v>3.5282429125505853E-2</v>
      </c>
    </row>
    <row r="47" spans="1:33" x14ac:dyDescent="0.2">
      <c r="A47">
        <f t="shared" si="13"/>
        <v>1745</v>
      </c>
      <c r="B47" s="25">
        <f>+'Agricultural production'!AJ48</f>
        <v>798.71940233895407</v>
      </c>
      <c r="C47" s="25">
        <f>+'incomeVOC and total income'!U47</f>
        <v>334.84428535845433</v>
      </c>
      <c r="D47" s="25">
        <f>+resteconomy!Q47/1000</f>
        <v>306.49899095434461</v>
      </c>
      <c r="E47" s="25">
        <f t="shared" si="0"/>
        <v>1440.062678651753</v>
      </c>
      <c r="F47" s="25"/>
      <c r="G47" s="25">
        <f t="shared" si="1"/>
        <v>351.08925591358803</v>
      </c>
      <c r="H47" s="25">
        <f>+Population!X48/38.04</f>
        <v>325.3995275439143</v>
      </c>
      <c r="I47" s="25">
        <f>1000*E47/Population!X48</f>
        <v>116.33863632016316</v>
      </c>
      <c r="J47" s="41">
        <f>+'incomeVOC and total income'!G47/8.04</f>
        <v>16.36993848032078</v>
      </c>
      <c r="K47" s="25">
        <f t="shared" si="2"/>
        <v>73.362363846966431</v>
      </c>
      <c r="L47" s="25">
        <f>+(J47*100/22.31381)*0.53+0.47*'Agricultural production'!AS48/0.93226</f>
        <v>80.425483364174525</v>
      </c>
      <c r="M47" s="25">
        <f t="shared" si="3"/>
        <v>144.65394729848293</v>
      </c>
      <c r="N47" s="25">
        <f>+M47/(Population!O48/Population!X48)</f>
        <v>81.366041157510011</v>
      </c>
      <c r="O47" s="25"/>
      <c r="P47" s="24">
        <f t="shared" si="4"/>
        <v>0.55464210980507367</v>
      </c>
      <c r="Q47" s="24">
        <f t="shared" si="5"/>
        <v>0.23252063283241919</v>
      </c>
      <c r="R47" s="24">
        <f t="shared" si="6"/>
        <v>0.21283725736250717</v>
      </c>
      <c r="S47" s="25"/>
      <c r="T47" s="25">
        <f>((1000*E47)-J47*(Population!W48+Population!R48))/Population!T48</f>
        <v>232.12496762554537</v>
      </c>
      <c r="U47" s="25">
        <f t="shared" si="7"/>
        <v>288.62116572487429</v>
      </c>
      <c r="W47" s="24">
        <v>0.69472698741730987</v>
      </c>
      <c r="X47" s="47">
        <v>179.21217099525575</v>
      </c>
      <c r="Y47" s="48">
        <v>2245.6281637025168</v>
      </c>
      <c r="Z47" s="25">
        <f t="shared" si="8"/>
        <v>1527.0275053549767</v>
      </c>
      <c r="AA47" s="25">
        <f t="shared" si="9"/>
        <v>3046.8056138148836</v>
      </c>
      <c r="AB47" s="25">
        <f t="shared" si="10"/>
        <v>858.93392589547364</v>
      </c>
      <c r="AC47" s="49">
        <v>1675.2202783394766</v>
      </c>
      <c r="AD47" s="41">
        <f>+resteconomy!AD47+resteconomy!V47/1000</f>
        <v>79.669299544803309</v>
      </c>
      <c r="AE47" s="24">
        <f t="shared" si="11"/>
        <v>5.5323494404697054E-2</v>
      </c>
      <c r="AF47" s="24">
        <f>+resteconomy!AD47/E47</f>
        <v>2.1167877827546866E-2</v>
      </c>
      <c r="AG47" s="24">
        <f t="shared" si="12"/>
        <v>3.4155616577150189E-2</v>
      </c>
    </row>
    <row r="48" spans="1:33" x14ac:dyDescent="0.2">
      <c r="A48">
        <f t="shared" si="13"/>
        <v>1746</v>
      </c>
      <c r="B48" s="25">
        <f>+'Agricultural production'!AJ49</f>
        <v>927.55546282032867</v>
      </c>
      <c r="C48" s="25">
        <f>+'incomeVOC and total income'!U48</f>
        <v>379.94646557058064</v>
      </c>
      <c r="D48" s="25">
        <f>+resteconomy!Q48/1000</f>
        <v>304.16935675533512</v>
      </c>
      <c r="E48" s="25">
        <f t="shared" si="0"/>
        <v>1611.6712851462444</v>
      </c>
      <c r="F48" s="25"/>
      <c r="G48" s="25">
        <f t="shared" si="1"/>
        <v>357.62875898326223</v>
      </c>
      <c r="H48" s="25">
        <f>+Population!X49/38.04</f>
        <v>329.80871761958264</v>
      </c>
      <c r="I48" s="25">
        <f>1000*E48/Population!X49</f>
        <v>128.461748547708</v>
      </c>
      <c r="J48" s="41">
        <f>+'incomeVOC and total income'!G48/8.04</f>
        <v>17.517337730236143</v>
      </c>
      <c r="K48" s="25">
        <f t="shared" si="2"/>
        <v>78.50446754828576</v>
      </c>
      <c r="L48" s="25">
        <f>+(J48*100/22.31381)*0.53+0.47*'Agricultural production'!AS49/0.93226</f>
        <v>88.363692667805253</v>
      </c>
      <c r="M48" s="25">
        <f t="shared" si="3"/>
        <v>145.37842938575179</v>
      </c>
      <c r="N48" s="25">
        <f>+M48/(Population!O49/Population!X49)</f>
        <v>82.824531238433067</v>
      </c>
      <c r="O48" s="25"/>
      <c r="P48" s="24">
        <f t="shared" si="4"/>
        <v>0.57552397400699584</v>
      </c>
      <c r="Q48" s="24">
        <f t="shared" si="5"/>
        <v>0.23574687287184867</v>
      </c>
      <c r="R48" s="24">
        <f t="shared" si="6"/>
        <v>0.18872915312115557</v>
      </c>
      <c r="S48" s="25"/>
      <c r="T48" s="25">
        <f>((1000*E48)-J48*(Population!W49+Population!R49))/Population!T49</f>
        <v>249.58102532477469</v>
      </c>
      <c r="U48" s="25">
        <f t="shared" si="7"/>
        <v>282.44748243268913</v>
      </c>
      <c r="W48" s="24">
        <v>0.77368547466856707</v>
      </c>
      <c r="X48" s="47">
        <v>206.7179096413424</v>
      </c>
      <c r="Y48" s="48">
        <v>2479.103848725224</v>
      </c>
      <c r="Z48" s="25">
        <f t="shared" si="8"/>
        <v>1534.6754409630782</v>
      </c>
      <c r="AA48" s="25">
        <f t="shared" si="9"/>
        <v>2981.6336335642204</v>
      </c>
      <c r="AB48" s="25">
        <f t="shared" si="10"/>
        <v>874.33035655948663</v>
      </c>
      <c r="AC48" s="49">
        <v>1684.5394734465183</v>
      </c>
      <c r="AD48" s="41">
        <f>+resteconomy!AD48+resteconomy!V48/1000</f>
        <v>111.70876834486202</v>
      </c>
      <c r="AE48" s="24">
        <f t="shared" si="11"/>
        <v>6.9312377390111202E-2</v>
      </c>
      <c r="AF48" s="24">
        <f>+resteconomy!AD48/E48</f>
        <v>3.8332743776932472E-2</v>
      </c>
      <c r="AG48" s="24">
        <f t="shared" si="12"/>
        <v>3.0979633613178729E-2</v>
      </c>
    </row>
    <row r="49" spans="1:33" x14ac:dyDescent="0.2">
      <c r="A49">
        <f t="shared" si="13"/>
        <v>1747</v>
      </c>
      <c r="B49" s="25">
        <f>+'Agricultural production'!AJ50</f>
        <v>954.2651287043301</v>
      </c>
      <c r="C49" s="25">
        <f>+'incomeVOC and total income'!U49</f>
        <v>421.00376393908272</v>
      </c>
      <c r="D49" s="25">
        <f>+resteconomy!Q49/1000</f>
        <v>398.64273398255085</v>
      </c>
      <c r="E49" s="25">
        <f t="shared" si="0"/>
        <v>1773.9116266259637</v>
      </c>
      <c r="F49" s="25"/>
      <c r="G49" s="25">
        <f t="shared" si="1"/>
        <v>394.40735700171348</v>
      </c>
      <c r="H49" s="25">
        <f>+Population!X50/38.04</f>
        <v>338.15606681809322</v>
      </c>
      <c r="I49" s="25">
        <f>1000*E49/Population!X50</f>
        <v>137.90318238105959</v>
      </c>
      <c r="J49" s="41">
        <f>+'incomeVOC and total income'!G49/8.04</f>
        <v>17.684331598985587</v>
      </c>
      <c r="K49" s="25">
        <f t="shared" si="2"/>
        <v>79.252855514076643</v>
      </c>
      <c r="L49" s="25">
        <f>+(J49*100/22.31381)*0.53+0.47*'Agricultural production'!AS50/0.93226</f>
        <v>88.189483022456585</v>
      </c>
      <c r="M49" s="25">
        <f t="shared" si="3"/>
        <v>156.37146024083609</v>
      </c>
      <c r="N49" s="25">
        <f>+M49/(Population!O50/Population!X50)</f>
        <v>88.736979076399919</v>
      </c>
      <c r="O49" s="25"/>
      <c r="P49" s="24">
        <f t="shared" si="4"/>
        <v>0.53794400712022661</v>
      </c>
      <c r="Q49" s="24">
        <f t="shared" si="5"/>
        <v>0.23733074276075705</v>
      </c>
      <c r="R49" s="24">
        <f t="shared" si="6"/>
        <v>0.22472525011901637</v>
      </c>
      <c r="S49" s="25"/>
      <c r="T49" s="25">
        <f>((1000*E49)-J49*(Population!W50+Population!R50))/Population!T50</f>
        <v>264.76014926475239</v>
      </c>
      <c r="U49" s="25">
        <f t="shared" si="7"/>
        <v>300.21737308215518</v>
      </c>
      <c r="W49" s="24">
        <v>0.78827698916611277</v>
      </c>
      <c r="X49" s="47">
        <v>244.15752596450176</v>
      </c>
      <c r="Y49" s="48">
        <v>2841.28927986893</v>
      </c>
      <c r="Z49" s="25">
        <f t="shared" si="8"/>
        <v>1650.7224676528622</v>
      </c>
      <c r="AA49" s="25">
        <f t="shared" si="9"/>
        <v>3169.2200236742215</v>
      </c>
      <c r="AB49" s="25">
        <f t="shared" si="10"/>
        <v>936.74462620898566</v>
      </c>
      <c r="AC49" s="49">
        <v>1697.2332897240772</v>
      </c>
      <c r="AD49" s="41">
        <f>+resteconomy!AD49+resteconomy!V49/1000</f>
        <v>125.48891814168482</v>
      </c>
      <c r="AE49" s="24">
        <f t="shared" si="11"/>
        <v>7.0741358395834369E-2</v>
      </c>
      <c r="AF49" s="24">
        <f>+resteconomy!AD49/E49</f>
        <v>3.6382315308788042E-2</v>
      </c>
      <c r="AG49" s="24">
        <f t="shared" si="12"/>
        <v>3.4359043087046327E-2</v>
      </c>
    </row>
    <row r="50" spans="1:33" x14ac:dyDescent="0.2">
      <c r="A50">
        <f t="shared" si="13"/>
        <v>1748</v>
      </c>
      <c r="B50" s="25">
        <f>+'Agricultural production'!AJ51</f>
        <v>890.48288032152686</v>
      </c>
      <c r="C50" s="25">
        <f>+'incomeVOC and total income'!U50</f>
        <v>403.34219359407439</v>
      </c>
      <c r="D50" s="25">
        <f>+resteconomy!Q50/1000</f>
        <v>349.18523720892415</v>
      </c>
      <c r="E50" s="25">
        <f t="shared" si="0"/>
        <v>1643.0103111245253</v>
      </c>
      <c r="F50" s="25"/>
      <c r="G50" s="25">
        <f t="shared" si="1"/>
        <v>362.39969487955403</v>
      </c>
      <c r="H50" s="25">
        <f>+Population!X51/38.04</f>
        <v>344.49101861173409</v>
      </c>
      <c r="I50" s="25">
        <f>1000*E50/Population!X51</f>
        <v>125.37815566712095</v>
      </c>
      <c r="J50" s="41">
        <f>+'incomeVOC and total income'!G50/8.04</f>
        <v>17.516049600975126</v>
      </c>
      <c r="K50" s="25">
        <f t="shared" si="2"/>
        <v>78.498694758874109</v>
      </c>
      <c r="L50" s="25">
        <f>+(J50*100/22.31381)*0.53+0.47*'Agricultural production'!AS51/0.93226</f>
        <v>88.896014286461337</v>
      </c>
      <c r="M50" s="25">
        <f t="shared" si="3"/>
        <v>141.0391193277782</v>
      </c>
      <c r="N50" s="25">
        <f>+M50/(Population!O51/Population!X51)</f>
        <v>79.859925358133822</v>
      </c>
      <c r="O50" s="25"/>
      <c r="P50" s="24">
        <f t="shared" si="4"/>
        <v>0.54198252700681704</v>
      </c>
      <c r="Q50" s="24">
        <f t="shared" si="5"/>
        <v>0.24548975186772562</v>
      </c>
      <c r="R50" s="24">
        <f t="shared" si="6"/>
        <v>0.21252772112545742</v>
      </c>
      <c r="S50" s="25"/>
      <c r="T50" s="25">
        <f>((1000*E50)-J50*(Population!W51+Population!R51))/Population!T51</f>
        <v>239.34384638998182</v>
      </c>
      <c r="U50" s="25">
        <f t="shared" si="7"/>
        <v>269.24024469613744</v>
      </c>
      <c r="W50" s="24">
        <v>0.74981171780709166</v>
      </c>
      <c r="X50" s="47">
        <v>224.43764130711671</v>
      </c>
      <c r="Y50" s="48">
        <v>2738.7509880204902</v>
      </c>
      <c r="Z50" s="25">
        <f t="shared" si="8"/>
        <v>1488.867870989779</v>
      </c>
      <c r="AA50" s="25">
        <f t="shared" si="9"/>
        <v>2842.2125139188515</v>
      </c>
      <c r="AB50" s="25">
        <f t="shared" si="10"/>
        <v>843.03473824903131</v>
      </c>
      <c r="AC50" s="49">
        <v>1772.0523606374873</v>
      </c>
      <c r="AD50" s="41">
        <f>+resteconomy!AD50+resteconomy!V50/1000</f>
        <v>55.580566218742845</v>
      </c>
      <c r="AE50" s="24">
        <f t="shared" si="11"/>
        <v>3.3828495075421558E-2</v>
      </c>
      <c r="AF50" s="24">
        <f>+resteconomy!AD50/E50</f>
        <v>4.8156920397247043E-3</v>
      </c>
      <c r="AG50" s="24">
        <f t="shared" si="12"/>
        <v>2.9012803035696852E-2</v>
      </c>
    </row>
    <row r="51" spans="1:33" x14ac:dyDescent="0.2">
      <c r="A51">
        <f t="shared" si="13"/>
        <v>1749</v>
      </c>
      <c r="B51" s="25">
        <f>+'Agricultural production'!AJ52</f>
        <v>1029.5927169754889</v>
      </c>
      <c r="C51" s="25">
        <f>+'incomeVOC and total income'!U51</f>
        <v>315.30148294334134</v>
      </c>
      <c r="D51" s="25">
        <f>+resteconomy!Q51/1000</f>
        <v>361.07803128577137</v>
      </c>
      <c r="E51" s="25">
        <f t="shared" si="0"/>
        <v>1705.9722312046015</v>
      </c>
      <c r="F51" s="25"/>
      <c r="G51" s="25">
        <f t="shared" si="1"/>
        <v>369.9063864867025</v>
      </c>
      <c r="H51" s="25">
        <f>+Population!X52/38.04</f>
        <v>347.32035337339556</v>
      </c>
      <c r="I51" s="25">
        <f>1000*E51/Population!X52</f>
        <v>129.1222886651623</v>
      </c>
      <c r="J51" s="41">
        <f>+'incomeVOC and total income'!G51/8.04</f>
        <v>17.662910323886969</v>
      </c>
      <c r="K51" s="25">
        <f t="shared" si="2"/>
        <v>79.15685543565607</v>
      </c>
      <c r="L51" s="25">
        <f>+(J51*100/22.31381)*0.53+0.47*'Agricultural production'!AS52/0.93226</f>
        <v>90.429463042469166</v>
      </c>
      <c r="M51" s="25">
        <f t="shared" si="3"/>
        <v>142.78785289759102</v>
      </c>
      <c r="N51" s="25">
        <f>+M51/(Population!O52/Population!X52)</f>
        <v>81.684107033866852</v>
      </c>
      <c r="O51" s="25"/>
      <c r="P51" s="24">
        <f t="shared" si="4"/>
        <v>0.60352255338205874</v>
      </c>
      <c r="Q51" s="24">
        <f t="shared" si="5"/>
        <v>0.18482216602125129</v>
      </c>
      <c r="R51" s="24">
        <f t="shared" si="6"/>
        <v>0.21165528059669009</v>
      </c>
      <c r="S51" s="25"/>
      <c r="T51" s="25">
        <f>((1000*E51)-J51*(Population!W52+Population!R52))/Population!T52</f>
        <v>256.91481144362291</v>
      </c>
      <c r="U51" s="25">
        <f t="shared" si="7"/>
        <v>284.1052050955625</v>
      </c>
      <c r="W51" s="24">
        <v>0.84918330489458604</v>
      </c>
      <c r="X51" s="47">
        <v>189.41061315254242</v>
      </c>
      <c r="Y51" s="48">
        <v>2397.2297036239161</v>
      </c>
      <c r="Z51" s="25">
        <f t="shared" si="8"/>
        <v>1507.3282331887567</v>
      </c>
      <c r="AA51" s="25">
        <f t="shared" si="9"/>
        <v>2999.1332466043996</v>
      </c>
      <c r="AB51" s="25">
        <f t="shared" si="10"/>
        <v>862.29156217697471</v>
      </c>
      <c r="AC51" s="49">
        <v>1690.8652369961344</v>
      </c>
      <c r="AD51" s="41">
        <f>+resteconomy!AD51+resteconomy!V51/1000</f>
        <v>218.91888827082744</v>
      </c>
      <c r="AE51" s="24">
        <f t="shared" si="11"/>
        <v>0.1283250009973767</v>
      </c>
      <c r="AF51" s="24">
        <f>+resteconomy!AD51/E51</f>
        <v>8.8075517531936737E-2</v>
      </c>
      <c r="AG51" s="24">
        <f t="shared" si="12"/>
        <v>4.0249483465439967E-2</v>
      </c>
    </row>
    <row r="52" spans="1:33" x14ac:dyDescent="0.2">
      <c r="A52">
        <f t="shared" si="13"/>
        <v>1750</v>
      </c>
      <c r="B52" s="25">
        <f>+'Agricultural production'!AJ53</f>
        <v>1274.5063153591016</v>
      </c>
      <c r="C52" s="25">
        <f>+'incomeVOC and total income'!U52</f>
        <v>400.48508750213705</v>
      </c>
      <c r="D52" s="25">
        <f>+resteconomy!Q52/1000</f>
        <v>509.66398034308577</v>
      </c>
      <c r="E52" s="25">
        <f t="shared" si="0"/>
        <v>2184.6553832043246</v>
      </c>
      <c r="F52" s="25"/>
      <c r="G52" s="25">
        <f t="shared" si="1"/>
        <v>439.92471849550162</v>
      </c>
      <c r="H52" s="25">
        <f>+Population!X53/38.04</f>
        <v>367.97679715097644</v>
      </c>
      <c r="I52" s="25">
        <f>1000*E52/Population!X53</f>
        <v>156.07092198982781</v>
      </c>
      <c r="J52" s="41">
        <f>+'incomeVOC and total income'!G52/8.04</f>
        <v>20.585853553862691</v>
      </c>
      <c r="K52" s="25">
        <f t="shared" si="2"/>
        <v>92.256112039417246</v>
      </c>
      <c r="L52" s="25">
        <f>+(J52*100/22.31381)*0.53+0.47*'Agricultural production'!AS53/0.93226</f>
        <v>97.372069042462584</v>
      </c>
      <c r="M52" s="25">
        <f t="shared" si="3"/>
        <v>160.28304987723683</v>
      </c>
      <c r="N52" s="25">
        <f>+M52/(Population!O53/Population!X53)</f>
        <v>91.166156111206789</v>
      </c>
      <c r="O52" s="25"/>
      <c r="P52" s="24">
        <f t="shared" si="4"/>
        <v>0.58339009674364761</v>
      </c>
      <c r="Q52" s="24">
        <f t="shared" si="5"/>
        <v>0.1833172822501318</v>
      </c>
      <c r="R52" s="24">
        <f t="shared" si="6"/>
        <v>0.23329262100622045</v>
      </c>
      <c r="S52" s="25"/>
      <c r="T52" s="25">
        <f>((1000*E52)-J52*(Population!W53+Population!R53))/Population!T53</f>
        <v>303.81499103881072</v>
      </c>
      <c r="U52" s="25">
        <f t="shared" si="7"/>
        <v>312.0145171263859</v>
      </c>
      <c r="W52" s="24">
        <v>1.0152927974166475</v>
      </c>
      <c r="X52" s="47">
        <v>184.12928262871696</v>
      </c>
      <c r="Y52" s="48">
        <v>2354.6918896369052</v>
      </c>
      <c r="Z52" s="25">
        <f t="shared" si="8"/>
        <v>1692.0148421507415</v>
      </c>
      <c r="AA52" s="25">
        <f t="shared" si="9"/>
        <v>3293.7556051540914</v>
      </c>
      <c r="AB52" s="25">
        <f t="shared" si="10"/>
        <v>962.38803391961426</v>
      </c>
      <c r="AC52" s="49">
        <v>1665.8731222060781</v>
      </c>
      <c r="AD52" s="41">
        <f>+resteconomy!AD52+resteconomy!V52/1000</f>
        <v>320.58538562779495</v>
      </c>
      <c r="AE52" s="24">
        <f t="shared" si="11"/>
        <v>0.14674414467950506</v>
      </c>
      <c r="AF52" s="24">
        <f>+resteconomy!AD52/E52</f>
        <v>0.10207590216617289</v>
      </c>
      <c r="AG52" s="24">
        <f t="shared" si="12"/>
        <v>4.4668242513332165E-2</v>
      </c>
    </row>
    <row r="53" spans="1:33" x14ac:dyDescent="0.2">
      <c r="A53">
        <f t="shared" si="13"/>
        <v>1751</v>
      </c>
      <c r="B53" s="25">
        <f>+'Agricultural production'!AJ54</f>
        <v>1275.240081314591</v>
      </c>
      <c r="C53" s="25">
        <f>+'incomeVOC and total income'!U53</f>
        <v>443.72082284992246</v>
      </c>
      <c r="D53" s="25">
        <f>+resteconomy!Q53/1000</f>
        <v>417.43349419331417</v>
      </c>
      <c r="E53" s="25">
        <f t="shared" si="0"/>
        <v>2136.3943983578274</v>
      </c>
      <c r="F53" s="25"/>
      <c r="G53" s="25">
        <f t="shared" si="1"/>
        <v>439.75785513379128</v>
      </c>
      <c r="H53" s="25">
        <f>+Population!X54/38.04</f>
        <v>375.18724843889208</v>
      </c>
      <c r="I53" s="25">
        <f>1000*E53/Population!X54</f>
        <v>149.69002220230314</v>
      </c>
      <c r="J53" s="41">
        <f>+'incomeVOC and total income'!G53/8.04</f>
        <v>19.695446319470374</v>
      </c>
      <c r="K53" s="25">
        <f t="shared" si="2"/>
        <v>88.265725662584629</v>
      </c>
      <c r="L53" s="25">
        <f>+(J53*100/22.31381)*0.53+0.47*'Agricultural production'!AS54/0.93226</f>
        <v>95.257164262741298</v>
      </c>
      <c r="M53" s="25">
        <f t="shared" si="3"/>
        <v>157.14305938125915</v>
      </c>
      <c r="N53" s="25">
        <f>+M53/(Population!O54/Population!X54)</f>
        <v>88.674733871930655</v>
      </c>
      <c r="O53" s="25"/>
      <c r="P53" s="24">
        <f t="shared" si="4"/>
        <v>0.5969122940477769</v>
      </c>
      <c r="Q53" s="24">
        <f t="shared" si="5"/>
        <v>0.20769611790360212</v>
      </c>
      <c r="R53" s="24">
        <f t="shared" si="6"/>
        <v>0.19539158804862103</v>
      </c>
      <c r="S53" s="25"/>
      <c r="T53" s="25">
        <f>((1000*E53)-J53*(Population!W54+Population!R54))/Population!T54</f>
        <v>292.65062913919098</v>
      </c>
      <c r="U53" s="25">
        <f t="shared" si="7"/>
        <v>307.22164721594362</v>
      </c>
      <c r="W53" s="24">
        <v>0.90487027767223394</v>
      </c>
      <c r="X53" s="47">
        <v>193.94770678675923</v>
      </c>
      <c r="Y53" s="48">
        <v>2522.6399167925688</v>
      </c>
      <c r="Z53" s="25">
        <f t="shared" si="8"/>
        <v>1658.8677905599727</v>
      </c>
      <c r="AA53" s="25">
        <f t="shared" si="9"/>
        <v>3243.1600678768978</v>
      </c>
      <c r="AB53" s="25">
        <f t="shared" si="10"/>
        <v>936.08753982402266</v>
      </c>
      <c r="AC53" s="49">
        <v>1700.0090272240743</v>
      </c>
      <c r="AD53" s="41">
        <f>+resteconomy!AD53+resteconomy!V53/1000</f>
        <v>334.46083187230948</v>
      </c>
      <c r="AE53" s="24">
        <f t="shared" si="11"/>
        <v>0.15655387981235955</v>
      </c>
      <c r="AF53" s="24">
        <f>+resteconomy!AD53/E53</f>
        <v>0.11973319589930947</v>
      </c>
      <c r="AG53" s="24">
        <f t="shared" si="12"/>
        <v>3.6820683913050073E-2</v>
      </c>
    </row>
    <row r="54" spans="1:33" x14ac:dyDescent="0.2">
      <c r="A54">
        <f t="shared" si="13"/>
        <v>1752</v>
      </c>
      <c r="B54" s="25">
        <f>+'Agricultural production'!AJ55</f>
        <v>1378.8577129441869</v>
      </c>
      <c r="C54" s="25">
        <f>+'incomeVOC and total income'!U54</f>
        <v>443.50038291228009</v>
      </c>
      <c r="D54" s="25">
        <f>+resteconomy!Q54/1000</f>
        <v>385.77563710413449</v>
      </c>
      <c r="E54" s="25">
        <f t="shared" si="0"/>
        <v>2208.1337329606013</v>
      </c>
      <c r="F54" s="25"/>
      <c r="G54" s="25">
        <f t="shared" si="1"/>
        <v>462.09233375573109</v>
      </c>
      <c r="H54" s="25">
        <f>+Population!X55/38.04</f>
        <v>397.09954683440822</v>
      </c>
      <c r="I54" s="25">
        <f>1000*E54/Population!X55</f>
        <v>146.17916360876401</v>
      </c>
      <c r="J54" s="41">
        <f>+'incomeVOC and total income'!G54/8.04</f>
        <v>19.038661167342013</v>
      </c>
      <c r="K54" s="25">
        <f t="shared" si="2"/>
        <v>85.322323562592018</v>
      </c>
      <c r="L54" s="25">
        <f>+(J54*100/22.31381)*0.53+0.47*'Agricultural production'!AS55/0.93226</f>
        <v>93.697161149745199</v>
      </c>
      <c r="M54" s="25">
        <f t="shared" si="3"/>
        <v>156.01237200254442</v>
      </c>
      <c r="N54" s="25">
        <f>+M54/(Population!O55/Population!X55)</f>
        <v>87.082612201046317</v>
      </c>
      <c r="O54" s="25"/>
      <c r="P54" s="24">
        <f t="shared" si="4"/>
        <v>0.62444483880759105</v>
      </c>
      <c r="Q54" s="24">
        <f t="shared" si="5"/>
        <v>0.20084851578153634</v>
      </c>
      <c r="R54" s="24">
        <f t="shared" si="6"/>
        <v>0.17470664541087272</v>
      </c>
      <c r="S54" s="25"/>
      <c r="T54" s="25">
        <f>((1000*E54)-J54*(Population!W55+Population!R55))/Population!T55</f>
        <v>283.81222872812424</v>
      </c>
      <c r="U54" s="25">
        <f t="shared" si="7"/>
        <v>302.90376490120167</v>
      </c>
      <c r="W54" s="24">
        <v>0.88235577177244684</v>
      </c>
      <c r="X54" s="47">
        <v>189.62590722480178</v>
      </c>
      <c r="Y54" s="48">
        <v>2422.1485773965987</v>
      </c>
      <c r="Z54" s="25">
        <f t="shared" si="8"/>
        <v>1646.9317821792793</v>
      </c>
      <c r="AA54" s="25">
        <f t="shared" si="9"/>
        <v>3197.5786981138485</v>
      </c>
      <c r="AB54" s="25">
        <f t="shared" si="10"/>
        <v>919.28043826394241</v>
      </c>
      <c r="AC54" s="49">
        <v>1796.1122664833974</v>
      </c>
      <c r="AD54" s="41">
        <f>+resteconomy!AD54+resteconomy!V54/1000</f>
        <v>387.15097035054157</v>
      </c>
      <c r="AE54" s="24">
        <f t="shared" si="11"/>
        <v>0.17532949412056709</v>
      </c>
      <c r="AF54" s="24">
        <f>+resteconomy!AD54/E54</f>
        <v>0.1455351248000479</v>
      </c>
      <c r="AG54" s="24">
        <f t="shared" si="12"/>
        <v>2.9794369320519182E-2</v>
      </c>
    </row>
    <row r="55" spans="1:33" x14ac:dyDescent="0.2">
      <c r="A55">
        <f t="shared" si="13"/>
        <v>1753</v>
      </c>
      <c r="B55" s="25">
        <f>+'Agricultural production'!AJ56</f>
        <v>1364.1025037152472</v>
      </c>
      <c r="C55" s="25">
        <f>+'incomeVOC and total income'!U55</f>
        <v>510.9566897328254</v>
      </c>
      <c r="D55" s="25">
        <f>+resteconomy!Q55/1000</f>
        <v>389.02374190443908</v>
      </c>
      <c r="E55" s="25">
        <f t="shared" si="0"/>
        <v>2264.0829353525114</v>
      </c>
      <c r="F55" s="25"/>
      <c r="G55" s="25">
        <f t="shared" si="1"/>
        <v>465.75460328865205</v>
      </c>
      <c r="H55" s="25">
        <f>+Population!X56/38.04</f>
        <v>410.3396308930383</v>
      </c>
      <c r="I55" s="25">
        <f>1000*E55/Population!X56</f>
        <v>145.04686938914392</v>
      </c>
      <c r="J55" s="41">
        <f>+'incomeVOC and total income'!G55/8.04</f>
        <v>19.71997627594164</v>
      </c>
      <c r="K55" s="25">
        <f t="shared" si="2"/>
        <v>88.375657388593154</v>
      </c>
      <c r="L55" s="25">
        <f>+(J55*100/22.31381)*0.53+0.47*'Agricultural production'!AS56/0.93226</f>
        <v>95.315822393739325</v>
      </c>
      <c r="M55" s="25">
        <f t="shared" si="3"/>
        <v>152.1750174802784</v>
      </c>
      <c r="N55" s="25">
        <f>+M55/(Population!O56/Population!X56)</f>
        <v>86.141062746635569</v>
      </c>
      <c r="O55" s="25"/>
      <c r="P55" s="24">
        <f t="shared" si="4"/>
        <v>0.60249670293233326</v>
      </c>
      <c r="Q55" s="24">
        <f t="shared" si="5"/>
        <v>0.22567931666923272</v>
      </c>
      <c r="R55" s="24">
        <f t="shared" si="6"/>
        <v>0.17182398039843411</v>
      </c>
      <c r="S55" s="25"/>
      <c r="T55" s="25">
        <f>((1000*E55)-J55*(Population!W56+Population!R56))/Population!T56</f>
        <v>282.06375350557369</v>
      </c>
      <c r="U55" s="25">
        <f t="shared" si="7"/>
        <v>295.9254260435365</v>
      </c>
      <c r="W55" s="24">
        <v>0.93270092218404321</v>
      </c>
      <c r="X55" s="47">
        <v>201.58257267793846</v>
      </c>
      <c r="Y55" s="48">
        <v>2629.2615722454771</v>
      </c>
      <c r="Z55" s="25">
        <f t="shared" si="8"/>
        <v>1606.4230645622799</v>
      </c>
      <c r="AA55" s="25">
        <f t="shared" si="9"/>
        <v>3123.912437521913</v>
      </c>
      <c r="AB55" s="25">
        <f t="shared" si="10"/>
        <v>909.34104883566465</v>
      </c>
      <c r="AC55" s="49">
        <v>1751.783500191184</v>
      </c>
      <c r="AD55" s="41">
        <f>+resteconomy!AD55+resteconomy!V55/1000</f>
        <v>389.53040588380685</v>
      </c>
      <c r="AE55" s="24">
        <f t="shared" si="11"/>
        <v>0.17204776371107539</v>
      </c>
      <c r="AF55" s="24">
        <f>+resteconomy!AD55/E55</f>
        <v>0.13661148428888098</v>
      </c>
      <c r="AG55" s="24">
        <f t="shared" si="12"/>
        <v>3.5436279422194406E-2</v>
      </c>
    </row>
    <row r="56" spans="1:33" x14ac:dyDescent="0.2">
      <c r="A56">
        <f t="shared" si="13"/>
        <v>1754</v>
      </c>
      <c r="B56" s="25">
        <f>+'Agricultural production'!AJ57</f>
        <v>1233.8183420016189</v>
      </c>
      <c r="C56" s="25">
        <f>+'incomeVOC and total income'!U56</f>
        <v>459.3781252249662</v>
      </c>
      <c r="D56" s="25">
        <f>+resteconomy!Q56/1000</f>
        <v>377.27260639271805</v>
      </c>
      <c r="E56" s="25">
        <f t="shared" si="0"/>
        <v>2070.4690736193033</v>
      </c>
      <c r="F56" s="25"/>
      <c r="G56" s="25">
        <f t="shared" si="1"/>
        <v>434.63455871852761</v>
      </c>
      <c r="H56" s="25">
        <f>+Population!X57/38.04</f>
        <v>418.83652229606469</v>
      </c>
      <c r="I56" s="25">
        <f>1000*E56/Population!X57</f>
        <v>129.95221751354842</v>
      </c>
      <c r="J56" s="41">
        <f>+'incomeVOC and total income'!G56/8.04</f>
        <v>20.900646525590041</v>
      </c>
      <c r="K56" s="25">
        <f t="shared" si="2"/>
        <v>93.666866060032064</v>
      </c>
      <c r="L56" s="25">
        <f>+(J56*100/22.31381)*0.53+0.47*'Agricultural production'!AS57/0.93226</f>
        <v>93.405901582611961</v>
      </c>
      <c r="M56" s="25">
        <f t="shared" si="3"/>
        <v>139.12634567165267</v>
      </c>
      <c r="N56" s="25">
        <f>+M56/(Population!O57/Population!X57)</f>
        <v>78.890082509274791</v>
      </c>
      <c r="O56" s="25"/>
      <c r="P56" s="24">
        <f t="shared" si="4"/>
        <v>0.59591247110242074</v>
      </c>
      <c r="Q56" s="24">
        <f t="shared" si="5"/>
        <v>0.22187152229322887</v>
      </c>
      <c r="R56" s="24">
        <f t="shared" si="6"/>
        <v>0.18221600660435031</v>
      </c>
      <c r="S56" s="25"/>
      <c r="T56" s="25">
        <f>((1000*E56)-J56*(Population!W57+Population!R57))/Population!T57</f>
        <v>248.39462201569734</v>
      </c>
      <c r="U56" s="25">
        <f t="shared" si="7"/>
        <v>265.93032967623259</v>
      </c>
      <c r="W56" s="24">
        <v>1.0702430393846607</v>
      </c>
      <c r="X56" s="47">
        <v>191.05026763606043</v>
      </c>
      <c r="Y56" s="48">
        <v>2523.8871857961099</v>
      </c>
      <c r="Z56" s="25">
        <f t="shared" si="8"/>
        <v>1468.6758331023159</v>
      </c>
      <c r="AA56" s="25">
        <f t="shared" si="9"/>
        <v>2807.2716680575695</v>
      </c>
      <c r="AB56" s="25">
        <f t="shared" si="10"/>
        <v>832.79667192773218</v>
      </c>
      <c r="AC56" s="49">
        <v>1700.5665030593634</v>
      </c>
      <c r="AD56" s="41">
        <f>+resteconomy!AD56+resteconomy!V56/1000</f>
        <v>274.31024851530412</v>
      </c>
      <c r="AE56" s="24">
        <f t="shared" si="11"/>
        <v>0.13248700596903554</v>
      </c>
      <c r="AF56" s="24">
        <f>+resteconomy!AD56/E56</f>
        <v>0.10061017146764979</v>
      </c>
      <c r="AG56" s="24">
        <f t="shared" si="12"/>
        <v>3.1876834501385745E-2</v>
      </c>
    </row>
    <row r="57" spans="1:33" x14ac:dyDescent="0.2">
      <c r="A57">
        <f t="shared" si="13"/>
        <v>1755</v>
      </c>
      <c r="B57" s="25">
        <f>+'Agricultural production'!AJ58</f>
        <v>1140.5196113657248</v>
      </c>
      <c r="C57" s="25">
        <f>+'incomeVOC and total income'!U57</f>
        <v>487.63991337085031</v>
      </c>
      <c r="D57" s="25">
        <f>+resteconomy!Q57/1000</f>
        <v>442.16544943182828</v>
      </c>
      <c r="E57" s="25">
        <f t="shared" si="0"/>
        <v>2070.3249741684035</v>
      </c>
      <c r="F57" s="25"/>
      <c r="G57" s="25">
        <f t="shared" si="1"/>
        <v>445.44187540313226</v>
      </c>
      <c r="H57" s="25">
        <f>+Population!X58/38.04</f>
        <v>409.44874142102111</v>
      </c>
      <c r="I57" s="25">
        <f>1000*E57/Population!X58</f>
        <v>132.92249123984297</v>
      </c>
      <c r="J57" s="41">
        <f>+'incomeVOC and total income'!G57/8.04</f>
        <v>20.020288897821501</v>
      </c>
      <c r="K57" s="25">
        <f t="shared" si="2"/>
        <v>89.721517292750548</v>
      </c>
      <c r="L57" s="25">
        <f>+(J57*100/22.31381)*0.53+0.47*'Agricultural production'!AS58/0.93226</f>
        <v>91.133343267057171</v>
      </c>
      <c r="M57" s="25">
        <f t="shared" si="3"/>
        <v>145.85494888553234</v>
      </c>
      <c r="N57" s="25">
        <f>+M57/(Population!O58/Population!X58)</f>
        <v>83.511905547639842</v>
      </c>
      <c r="O57" s="25"/>
      <c r="P57" s="24">
        <f t="shared" si="4"/>
        <v>0.55088917227781709</v>
      </c>
      <c r="Q57" s="24">
        <f t="shared" si="5"/>
        <v>0.23553785973466448</v>
      </c>
      <c r="R57" s="24">
        <f t="shared" si="6"/>
        <v>0.21357296798751838</v>
      </c>
      <c r="S57" s="25"/>
      <c r="T57" s="25">
        <f>((1000*E57)-J57*(Population!W58+Population!R58))/Population!T58</f>
        <v>236.40638178473898</v>
      </c>
      <c r="U57" s="25">
        <f t="shared" si="7"/>
        <v>259.40712071977174</v>
      </c>
      <c r="W57" s="24">
        <v>1.0136773297753225</v>
      </c>
      <c r="X57" s="47">
        <v>188.86105037598244</v>
      </c>
      <c r="Y57" s="48">
        <v>2444.5358605184929</v>
      </c>
      <c r="Z57" s="25">
        <f t="shared" si="8"/>
        <v>1539.7057798967364</v>
      </c>
      <c r="AA57" s="25">
        <f t="shared" si="9"/>
        <v>2738.4099488599622</v>
      </c>
      <c r="AB57" s="25">
        <f t="shared" si="10"/>
        <v>881.58656695841387</v>
      </c>
      <c r="AC57" s="49">
        <v>1710.3415276789435</v>
      </c>
      <c r="AD57" s="41">
        <f>+resteconomy!AD57+resteconomy!V57/1000</f>
        <v>162.70473202095019</v>
      </c>
      <c r="AE57" s="24">
        <f t="shared" si="11"/>
        <v>7.858898194777586E-2</v>
      </c>
      <c r="AF57" s="24">
        <f>+resteconomy!AD57/E57</f>
        <v>4.6709928744299689E-2</v>
      </c>
      <c r="AG57" s="24">
        <f t="shared" si="12"/>
        <v>3.1879053203476171E-2</v>
      </c>
    </row>
    <row r="58" spans="1:33" x14ac:dyDescent="0.2">
      <c r="A58">
        <f t="shared" si="13"/>
        <v>1756</v>
      </c>
      <c r="B58" s="25">
        <f>+'Agricultural production'!AJ59</f>
        <v>1162.9292056411737</v>
      </c>
      <c r="C58" s="25">
        <f>+'incomeVOC and total income'!U58</f>
        <v>394.12723294503263</v>
      </c>
      <c r="D58" s="25">
        <f>+resteconomy!Q58/1000</f>
        <v>422.26343278694083</v>
      </c>
      <c r="E58" s="25">
        <f t="shared" si="0"/>
        <v>1979.3198713731472</v>
      </c>
      <c r="F58" s="25"/>
      <c r="G58" s="25">
        <f t="shared" si="1"/>
        <v>426.27291590759813</v>
      </c>
      <c r="H58" s="25">
        <f>+Population!X59/38.04</f>
        <v>385.37567175725775</v>
      </c>
      <c r="I58" s="25">
        <f>1000*E58/Population!X59</f>
        <v>135.0178480323284</v>
      </c>
      <c r="J58" s="41">
        <f>+'incomeVOC and total income'!G58/8.04</f>
        <v>19.983044672129026</v>
      </c>
      <c r="K58" s="25">
        <f t="shared" si="2"/>
        <v>89.554606192886936</v>
      </c>
      <c r="L58" s="25">
        <f>+(J58*100/22.31381)*0.53+0.47*'Agricultural production'!AS59/0.93226</f>
        <v>91.045412711017718</v>
      </c>
      <c r="M58" s="25">
        <f t="shared" si="3"/>
        <v>148.2972551960209</v>
      </c>
      <c r="N58" s="25">
        <f>+M58/(Population!O59/Population!X59)</f>
        <v>83.789122873150475</v>
      </c>
      <c r="O58" s="25"/>
      <c r="P58" s="24">
        <f t="shared" si="4"/>
        <v>0.58753980216163593</v>
      </c>
      <c r="Q58" s="24">
        <f t="shared" si="5"/>
        <v>0.19912255651311581</v>
      </c>
      <c r="R58" s="24">
        <f t="shared" si="6"/>
        <v>0.21333764132524818</v>
      </c>
      <c r="S58" s="25"/>
      <c r="T58" s="25">
        <f>((1000*E58)-J58*(Population!W59+Population!R59))/Population!T59</f>
        <v>264.17167996427679</v>
      </c>
      <c r="U58" s="25">
        <f t="shared" si="7"/>
        <v>290.15375085702527</v>
      </c>
      <c r="W58" s="24">
        <v>0.80693059411697066</v>
      </c>
      <c r="X58" s="47">
        <v>179.27912590810044</v>
      </c>
      <c r="Y58" s="48">
        <v>2231.1801048707343</v>
      </c>
      <c r="Z58" s="25">
        <f t="shared" si="8"/>
        <v>1565.4877857269857</v>
      </c>
      <c r="AA58" s="25">
        <f t="shared" si="9"/>
        <v>3062.9842227972126</v>
      </c>
      <c r="AB58" s="25">
        <f t="shared" si="10"/>
        <v>884.51298887030407</v>
      </c>
      <c r="AC58" s="49">
        <v>1678.0301234996721</v>
      </c>
      <c r="AD58" s="41">
        <f>+resteconomy!AD58+resteconomy!V58/1000</f>
        <v>128.64068828805821</v>
      </c>
      <c r="AE58" s="24">
        <f t="shared" si="11"/>
        <v>6.499236942375268E-2</v>
      </c>
      <c r="AF58" s="24">
        <f>+resteconomy!AD58/E58</f>
        <v>5.0593484022663754E-2</v>
      </c>
      <c r="AG58" s="24">
        <f t="shared" si="12"/>
        <v>1.4398885401088926E-2</v>
      </c>
    </row>
    <row r="59" spans="1:33" x14ac:dyDescent="0.2">
      <c r="A59">
        <f t="shared" si="13"/>
        <v>1757</v>
      </c>
      <c r="B59" s="25">
        <f>+'Agricultural production'!AJ60</f>
        <v>985.3370054127945</v>
      </c>
      <c r="C59" s="25">
        <f>+'incomeVOC and total income'!U59</f>
        <v>439.17245025430975</v>
      </c>
      <c r="D59" s="25">
        <f>+resteconomy!Q59/1000</f>
        <v>335.41173508953989</v>
      </c>
      <c r="E59" s="25">
        <f t="shared" si="0"/>
        <v>1759.9211907566441</v>
      </c>
      <c r="F59" s="25"/>
      <c r="G59" s="25">
        <f t="shared" si="1"/>
        <v>382.07799335723649</v>
      </c>
      <c r="H59" s="25">
        <f>+Population!X60/38.04</f>
        <v>398.061699009785</v>
      </c>
      <c r="I59" s="25">
        <f>1000*E59/Population!X60</f>
        <v>116.22573999198794</v>
      </c>
      <c r="J59" s="41">
        <f>+'incomeVOC and total income'!G59/8.04</f>
        <v>18.911687329283367</v>
      </c>
      <c r="K59" s="25">
        <f t="shared" si="2"/>
        <v>84.753286548928074</v>
      </c>
      <c r="L59" s="25">
        <f>+(J59*100/22.31381)*0.53+0.47*'Agricultural production'!AS60/0.93226</f>
        <v>90.317315423143199</v>
      </c>
      <c r="M59" s="25">
        <f t="shared" si="3"/>
        <v>128.68599940937338</v>
      </c>
      <c r="N59" s="25">
        <f>+M59/(Population!O60/Population!X60)</f>
        <v>72.827792969553514</v>
      </c>
      <c r="O59" s="25"/>
      <c r="P59" s="24">
        <f t="shared" si="4"/>
        <v>0.55987564135708134</v>
      </c>
      <c r="Q59" s="24">
        <f t="shared" si="5"/>
        <v>0.24954097522145072</v>
      </c>
      <c r="R59" s="24">
        <f t="shared" si="6"/>
        <v>0.19058338342146791</v>
      </c>
      <c r="S59" s="25"/>
      <c r="T59" s="25">
        <f>((1000*E59)-J59*(Population!W60+Population!R60))/Population!T60</f>
        <v>217.52112450622792</v>
      </c>
      <c r="U59" s="25">
        <f t="shared" si="7"/>
        <v>240.84099874661422</v>
      </c>
      <c r="W59" s="24">
        <v>0.84297210187234561</v>
      </c>
      <c r="X59" s="47">
        <v>214.3523748175021</v>
      </c>
      <c r="Y59" s="48">
        <v>2484.5306988691691</v>
      </c>
      <c r="Z59" s="25">
        <f t="shared" si="8"/>
        <v>1358.4631758905919</v>
      </c>
      <c r="AA59" s="25">
        <f t="shared" si="9"/>
        <v>2542.4182082247289</v>
      </c>
      <c r="AB59" s="25">
        <f t="shared" si="10"/>
        <v>768.80061066935252</v>
      </c>
      <c r="AC59" s="49">
        <v>1739.5601501393833</v>
      </c>
      <c r="AD59" s="41">
        <f>+resteconomy!AD59+resteconomy!V59/1000</f>
        <v>72.437280080197155</v>
      </c>
      <c r="AE59" s="24">
        <f t="shared" si="11"/>
        <v>4.115938853435485E-2</v>
      </c>
      <c r="AF59" s="24">
        <f>+resteconomy!AD59/E59</f>
        <v>1.9309817774417058E-2</v>
      </c>
      <c r="AG59" s="24">
        <f t="shared" si="12"/>
        <v>2.1849570759937792E-2</v>
      </c>
    </row>
    <row r="60" spans="1:33" x14ac:dyDescent="0.2">
      <c r="A60">
        <f t="shared" si="13"/>
        <v>1758</v>
      </c>
      <c r="B60" s="25">
        <f>+'Agricultural production'!AJ61</f>
        <v>1045.7885238749873</v>
      </c>
      <c r="C60" s="25">
        <f>+'incomeVOC and total income'!U60</f>
        <v>365.82575636505771</v>
      </c>
      <c r="D60" s="25">
        <f>+resteconomy!Q60/1000</f>
        <v>377.29034252397008</v>
      </c>
      <c r="E60" s="25">
        <f t="shared" si="0"/>
        <v>1788.9046227640151</v>
      </c>
      <c r="F60" s="25"/>
      <c r="G60" s="25">
        <f t="shared" si="1"/>
        <v>388.71241958807957</v>
      </c>
      <c r="H60" s="25">
        <f>+Population!X61/38.04</f>
        <v>411.80625578011109</v>
      </c>
      <c r="I60" s="25">
        <f>1000*E60/Population!X61</f>
        <v>114.19674845590893</v>
      </c>
      <c r="J60" s="41">
        <f>+'incomeVOC and total income'!G60/8.04</f>
        <v>19.294329323752802</v>
      </c>
      <c r="K60" s="25">
        <f t="shared" si="2"/>
        <v>86.468107973281121</v>
      </c>
      <c r="L60" s="25">
        <f>+(J60*100/22.31381)*0.53+0.47*'Agricultural production'!AS61/0.93226</f>
        <v>90.237819691580142</v>
      </c>
      <c r="M60" s="25">
        <f t="shared" si="3"/>
        <v>126.55087284490799</v>
      </c>
      <c r="N60" s="25">
        <f>+M60/(Population!O61/Population!X61)</f>
        <v>71.424083544423652</v>
      </c>
      <c r="O60" s="25"/>
      <c r="P60" s="24">
        <f t="shared" si="4"/>
        <v>0.5845971386999671</v>
      </c>
      <c r="Q60" s="24">
        <f t="shared" si="5"/>
        <v>0.2044970713977052</v>
      </c>
      <c r="R60" s="24">
        <f t="shared" si="6"/>
        <v>0.21090578990232767</v>
      </c>
      <c r="S60" s="25"/>
      <c r="T60" s="25">
        <f>((1000*E60)-J60*(Population!W61+Population!R61))/Population!T61</f>
        <v>213.50248621992625</v>
      </c>
      <c r="U60" s="25">
        <f t="shared" si="7"/>
        <v>236.59978371557176</v>
      </c>
      <c r="W60" s="24">
        <v>0.83964855699392005</v>
      </c>
      <c r="X60" s="47">
        <v>201.86278018806777</v>
      </c>
      <c r="Y60" s="48">
        <v>2423.8528753028195</v>
      </c>
      <c r="Z60" s="25">
        <f t="shared" si="8"/>
        <v>1335.9238878017218</v>
      </c>
      <c r="AA60" s="25">
        <f t="shared" si="9"/>
        <v>2497.6461703406671</v>
      </c>
      <c r="AB60" s="25">
        <f t="shared" si="10"/>
        <v>753.98246749572468</v>
      </c>
      <c r="AC60" s="49">
        <v>1787.9315425265763</v>
      </c>
      <c r="AD60" s="41">
        <f>+resteconomy!AD60+resteconomy!V60/1000</f>
        <v>63.005640882587898</v>
      </c>
      <c r="AE60" s="24">
        <f t="shared" si="11"/>
        <v>3.5220234819024969E-2</v>
      </c>
      <c r="AF60" s="24">
        <f>+resteconomy!AD60/E60</f>
        <v>-4.6054441112974359E-3</v>
      </c>
      <c r="AG60" s="24">
        <f t="shared" si="12"/>
        <v>3.9825678930322406E-2</v>
      </c>
    </row>
    <row r="61" spans="1:33" x14ac:dyDescent="0.2">
      <c r="A61">
        <f t="shared" si="13"/>
        <v>1759</v>
      </c>
      <c r="B61" s="25">
        <f>+'Agricultural production'!AJ62</f>
        <v>973.26754661424275</v>
      </c>
      <c r="C61" s="25">
        <f>+'incomeVOC and total income'!U61</f>
        <v>371.91975953718503</v>
      </c>
      <c r="D61" s="25">
        <f>+resteconomy!Q61/1000</f>
        <v>409.82532810737433</v>
      </c>
      <c r="E61" s="25">
        <f t="shared" si="0"/>
        <v>1755.0126342588021</v>
      </c>
      <c r="F61" s="25"/>
      <c r="G61" s="25">
        <f t="shared" si="1"/>
        <v>381.44350766163859</v>
      </c>
      <c r="H61" s="25">
        <f>+Population!X62/38.04</f>
        <v>421.75463272073614</v>
      </c>
      <c r="I61" s="25">
        <f>1000*E61/Population!X62</f>
        <v>109.39056797303594</v>
      </c>
      <c r="J61" s="41">
        <f>+'incomeVOC and total income'!G61/8.04</f>
        <v>19.448795011805153</v>
      </c>
      <c r="K61" s="25">
        <f t="shared" si="2"/>
        <v>87.160350526445967</v>
      </c>
      <c r="L61" s="25">
        <f>+(J61*100/22.31381)*0.53+0.47*'Agricultural production'!AS62/0.93226</f>
        <v>90.21522648898366</v>
      </c>
      <c r="M61" s="25">
        <f t="shared" si="3"/>
        <v>121.25510540772606</v>
      </c>
      <c r="N61" s="25">
        <f>+M61/(Population!O62/Population!X62)</f>
        <v>68.648266165312734</v>
      </c>
      <c r="O61" s="25"/>
      <c r="P61" s="24">
        <f t="shared" si="4"/>
        <v>0.55456441031564696</v>
      </c>
      <c r="Q61" s="24">
        <f t="shared" si="5"/>
        <v>0.2119185653009607</v>
      </c>
      <c r="R61" s="24">
        <f t="shared" si="6"/>
        <v>0.23351702438339236</v>
      </c>
      <c r="S61" s="25"/>
      <c r="T61" s="25">
        <f>((1000*E61)-J61*(Population!W62+Population!R62))/Population!T62</f>
        <v>205.83024597225653</v>
      </c>
      <c r="U61" s="25">
        <f t="shared" si="7"/>
        <v>228.15466300180583</v>
      </c>
      <c r="W61" s="24">
        <v>0.9201271918293108</v>
      </c>
      <c r="X61" s="47">
        <v>187.51937177052957</v>
      </c>
      <c r="Y61" s="48">
        <v>2360.1619619824755</v>
      </c>
      <c r="Z61" s="25">
        <f t="shared" si="8"/>
        <v>1280.0195541173214</v>
      </c>
      <c r="AA61" s="25">
        <f t="shared" si="9"/>
        <v>2408.495947641567</v>
      </c>
      <c r="AB61" s="25">
        <f t="shared" si="10"/>
        <v>724.67977948128419</v>
      </c>
      <c r="AC61" s="49">
        <v>1773.5520787098553</v>
      </c>
      <c r="AD61" s="41">
        <f>+resteconomy!AD61+resteconomy!V61/1000</f>
        <v>168.63240992860159</v>
      </c>
      <c r="AE61" s="24">
        <f t="shared" si="11"/>
        <v>9.608615153919986E-2</v>
      </c>
      <c r="AF61" s="24">
        <f>+resteconomy!AD61/E61</f>
        <v>2.0631608285462892E-2</v>
      </c>
      <c r="AG61" s="24">
        <f t="shared" si="12"/>
        <v>7.5454543253736961E-2</v>
      </c>
    </row>
    <row r="62" spans="1:33" x14ac:dyDescent="0.2">
      <c r="A62">
        <f t="shared" si="13"/>
        <v>1760</v>
      </c>
      <c r="B62" s="25">
        <f>+'Agricultural production'!AJ63</f>
        <v>1005.4706562011521</v>
      </c>
      <c r="C62" s="25">
        <f>+'incomeVOC and total income'!U62</f>
        <v>367.87751590932828</v>
      </c>
      <c r="D62" s="25">
        <f>+resteconomy!Q62/1000</f>
        <v>425.51389299300251</v>
      </c>
      <c r="E62" s="25">
        <f t="shared" si="0"/>
        <v>1798.862065103483</v>
      </c>
      <c r="F62" s="25"/>
      <c r="G62" s="25">
        <f t="shared" si="1"/>
        <v>390.82739047757394</v>
      </c>
      <c r="H62" s="25">
        <f>+Population!X63/38.04</f>
        <v>439.54274351003932</v>
      </c>
      <c r="I62" s="25">
        <f>1000*E62/Population!X63</f>
        <v>107.58611879967599</v>
      </c>
      <c r="J62" s="41">
        <f>+'incomeVOC and total income'!G62/8.04</f>
        <v>19.596620847325624</v>
      </c>
      <c r="K62" s="25">
        <f t="shared" si="2"/>
        <v>87.822836383950673</v>
      </c>
      <c r="L62" s="25">
        <f>+(J62*100/22.31381)*0.53+0.47*'Agricultural production'!AS63/0.93226</f>
        <v>90.249061497473122</v>
      </c>
      <c r="M62" s="25">
        <f t="shared" si="3"/>
        <v>119.21023555761661</v>
      </c>
      <c r="N62" s="25">
        <f>+M62/(Population!O63/Population!X63)</f>
        <v>68.215201393515954</v>
      </c>
      <c r="O62" s="25"/>
      <c r="P62" s="24">
        <f t="shared" si="4"/>
        <v>0.55894816823729643</v>
      </c>
      <c r="Q62" s="24">
        <f t="shared" si="5"/>
        <v>0.20450568336831618</v>
      </c>
      <c r="R62" s="24">
        <f t="shared" si="6"/>
        <v>0.23654614839438731</v>
      </c>
      <c r="S62" s="25"/>
      <c r="T62" s="25">
        <f>((1000*E62)-J62*(Population!W63+Population!R63))/Population!T63</f>
        <v>200.50537708223118</v>
      </c>
      <c r="U62" s="25">
        <f t="shared" si="7"/>
        <v>222.16893312275064</v>
      </c>
      <c r="W62" s="24">
        <v>0.87588071867792572</v>
      </c>
      <c r="X62" s="47">
        <v>190.53741494299496</v>
      </c>
      <c r="Y62" s="48">
        <v>2470.8385056595894</v>
      </c>
      <c r="Z62" s="25">
        <f t="shared" si="8"/>
        <v>1258.4330536152299</v>
      </c>
      <c r="AA62" s="25">
        <f t="shared" si="9"/>
        <v>2345.3080821484682</v>
      </c>
      <c r="AB62" s="25">
        <f t="shared" si="10"/>
        <v>720.10816681198469</v>
      </c>
      <c r="AC62" s="49">
        <v>1848.8993359413403</v>
      </c>
      <c r="AD62" s="41">
        <f>+resteconomy!AD62+resteconomy!V62/1000</f>
        <v>92.833756437749997</v>
      </c>
      <c r="AE62" s="24">
        <f t="shared" si="11"/>
        <v>5.1606934316228162E-2</v>
      </c>
      <c r="AF62" s="24">
        <f>+resteconomy!AD62/E62</f>
        <v>-4.9889242267643491E-3</v>
      </c>
      <c r="AG62" s="24">
        <f t="shared" si="12"/>
        <v>5.6595858542992511E-2</v>
      </c>
    </row>
    <row r="63" spans="1:33" x14ac:dyDescent="0.2">
      <c r="A63">
        <f t="shared" si="13"/>
        <v>1761</v>
      </c>
      <c r="B63" s="25">
        <f>+'Agricultural production'!AJ64</f>
        <v>1149.8160397595195</v>
      </c>
      <c r="C63" s="25">
        <f>+'incomeVOC and total income'!U63</f>
        <v>358.09629297372243</v>
      </c>
      <c r="D63" s="25">
        <f>+resteconomy!Q63/1000</f>
        <v>515.90401840254208</v>
      </c>
      <c r="E63" s="25">
        <f t="shared" si="0"/>
        <v>2023.8163511357841</v>
      </c>
      <c r="F63" s="25"/>
      <c r="G63" s="25">
        <f t="shared" si="1"/>
        <v>414.44429581591902</v>
      </c>
      <c r="H63" s="25">
        <f>+Population!X64/38.04</f>
        <v>451.43963892042353</v>
      </c>
      <c r="I63" s="25">
        <f>1000*E63/Population!X64</f>
        <v>117.85035694315889</v>
      </c>
      <c r="J63" s="41">
        <f>+'incomeVOC and total income'!G63/8.04</f>
        <v>20.755352193649777</v>
      </c>
      <c r="K63" s="25">
        <f t="shared" si="2"/>
        <v>93.015725210754127</v>
      </c>
      <c r="L63" s="25">
        <f>+(J63*100/22.31381)*0.53+0.47*'Agricultural production'!AS64/0.93226</f>
        <v>95.749112612488773</v>
      </c>
      <c r="M63" s="25">
        <f t="shared" si="3"/>
        <v>123.0824534323542</v>
      </c>
      <c r="N63" s="25">
        <f>+M63/(Population!O64/Population!X64)</f>
        <v>69.951601775840416</v>
      </c>
      <c r="O63" s="25"/>
      <c r="P63" s="24">
        <f t="shared" si="4"/>
        <v>0.56814247948645757</v>
      </c>
      <c r="Q63" s="24">
        <f t="shared" si="5"/>
        <v>0.17694110079343689</v>
      </c>
      <c r="R63" s="24">
        <f t="shared" si="6"/>
        <v>0.25491641972010559</v>
      </c>
      <c r="S63" s="25"/>
      <c r="T63" s="25">
        <f>((1000*E63)-J63*(Population!W64+Population!R64))/Population!T64</f>
        <v>219.96609173383942</v>
      </c>
      <c r="U63" s="25">
        <f t="shared" si="7"/>
        <v>229.73172881933189</v>
      </c>
      <c r="W63" s="24">
        <v>0.77975415940488801</v>
      </c>
      <c r="X63" s="47">
        <v>198.8921904362538</v>
      </c>
      <c r="Y63" s="48">
        <v>2478.5497550788086</v>
      </c>
      <c r="Z63" s="25">
        <f t="shared" si="8"/>
        <v>1299.3098033471299</v>
      </c>
      <c r="AA63" s="25">
        <f t="shared" si="9"/>
        <v>2425.144113323131</v>
      </c>
      <c r="AB63" s="25">
        <f t="shared" si="10"/>
        <v>738.43833473092252</v>
      </c>
      <c r="AC63" s="49">
        <v>1877.4176649979904</v>
      </c>
      <c r="AD63" s="41">
        <f>+resteconomy!AD63+resteconomy!V63/1000</f>
        <v>205.48780770782946</v>
      </c>
      <c r="AE63" s="24">
        <f t="shared" si="11"/>
        <v>0.10153480951594636</v>
      </c>
      <c r="AF63" s="24">
        <f>+resteconomy!AD63/E63</f>
        <v>1.6330318458722622E-2</v>
      </c>
      <c r="AG63" s="24">
        <f t="shared" si="12"/>
        <v>8.5204491057223733E-2</v>
      </c>
    </row>
    <row r="64" spans="1:33" x14ac:dyDescent="0.2">
      <c r="A64">
        <f t="shared" si="13"/>
        <v>1762</v>
      </c>
      <c r="B64" s="25">
        <f>+'Agricultural production'!AJ65</f>
        <v>1055.0170336055469</v>
      </c>
      <c r="C64" s="25">
        <f>+'incomeVOC and total income'!U64</f>
        <v>303.98257583994871</v>
      </c>
      <c r="D64" s="25">
        <f>+resteconomy!Q64/1000</f>
        <v>435.4664866224133</v>
      </c>
      <c r="E64" s="25">
        <f t="shared" si="0"/>
        <v>1794.4660960679089</v>
      </c>
      <c r="F64" s="25"/>
      <c r="G64" s="25">
        <f t="shared" si="1"/>
        <v>379.91818489315682</v>
      </c>
      <c r="H64" s="25">
        <f>+Population!X65/38.04</f>
        <v>462.71779534059243</v>
      </c>
      <c r="I64" s="25">
        <f>1000*E64/Population!X65</f>
        <v>101.94796168226051</v>
      </c>
      <c r="J64" s="41">
        <f>+'incomeVOC and total income'!G64/8.04</f>
        <v>20.645779891922611</v>
      </c>
      <c r="K64" s="25">
        <f t="shared" si="2"/>
        <v>92.52467369724225</v>
      </c>
      <c r="L64" s="25">
        <f>+(J64*100/22.31381)*0.53+0.47*'Agricultural production'!AS65/0.93226</f>
        <v>92.613649795986674</v>
      </c>
      <c r="M64" s="25">
        <f t="shared" si="3"/>
        <v>110.07876474670404</v>
      </c>
      <c r="N64" s="25">
        <f>+M64/(Population!O65/Population!X65)</f>
        <v>62.963473617913486</v>
      </c>
      <c r="O64" s="25"/>
      <c r="P64" s="24">
        <f t="shared" si="4"/>
        <v>0.58792809511270994</v>
      </c>
      <c r="Q64" s="24">
        <f t="shared" si="5"/>
        <v>0.1694000106806392</v>
      </c>
      <c r="R64" s="24">
        <f t="shared" si="6"/>
        <v>0.24267189420665083</v>
      </c>
      <c r="S64" s="25"/>
      <c r="T64" s="25">
        <f>((1000*E64)-J64*(Population!W65+Population!R65))/Population!T65</f>
        <v>190.9024888834733</v>
      </c>
      <c r="U64" s="25">
        <f t="shared" si="7"/>
        <v>206.12781086157548</v>
      </c>
      <c r="W64" s="24">
        <v>0.93797385301248659</v>
      </c>
      <c r="X64" s="47">
        <v>206.53897526414937</v>
      </c>
      <c r="Y64" s="48">
        <v>2514.2076100399804</v>
      </c>
      <c r="Z64" s="25">
        <f t="shared" si="8"/>
        <v>1162.0374325276343</v>
      </c>
      <c r="AA64" s="25">
        <f t="shared" si="9"/>
        <v>2175.9712934396716</v>
      </c>
      <c r="AB64" s="25">
        <f t="shared" si="10"/>
        <v>664.66873419536944</v>
      </c>
      <c r="AC64" s="49">
        <v>1805.0027200092347</v>
      </c>
      <c r="AD64" s="41">
        <f>+resteconomy!AD64+resteconomy!V64/1000</f>
        <v>167.64159373207568</v>
      </c>
      <c r="AE64" s="24">
        <f t="shared" si="11"/>
        <v>9.3421432758978989E-2</v>
      </c>
      <c r="AF64" s="24">
        <f>+resteconomy!AD64/E64</f>
        <v>2.8744994705308516E-2</v>
      </c>
      <c r="AG64" s="24">
        <f t="shared" si="12"/>
        <v>6.4676438053670474E-2</v>
      </c>
    </row>
    <row r="65" spans="1:33" x14ac:dyDescent="0.2">
      <c r="A65">
        <f t="shared" si="13"/>
        <v>1763</v>
      </c>
      <c r="B65" s="25">
        <f>+'Agricultural production'!AJ66</f>
        <v>1332.7523258907504</v>
      </c>
      <c r="C65" s="25">
        <f>+'incomeVOC and total income'!U65</f>
        <v>306.24156542821891</v>
      </c>
      <c r="D65" s="25">
        <f>+resteconomy!Q65/1000</f>
        <v>493.74855074337819</v>
      </c>
      <c r="E65" s="25">
        <f t="shared" si="0"/>
        <v>2132.7424420623474</v>
      </c>
      <c r="F65" s="25"/>
      <c r="G65" s="25">
        <f t="shared" si="1"/>
        <v>465.35952035369831</v>
      </c>
      <c r="H65" s="25">
        <f>+Population!X66/38.04</f>
        <v>485.94714113785318</v>
      </c>
      <c r="I65" s="25">
        <f>1000*E65/Population!X66</f>
        <v>115.37424494435869</v>
      </c>
      <c r="J65" s="41">
        <f>+'incomeVOC and total income'!G65/8.04</f>
        <v>18.514128607003386</v>
      </c>
      <c r="K65" s="25">
        <f t="shared" si="2"/>
        <v>82.971615367359433</v>
      </c>
      <c r="L65" s="25">
        <f>+(J65*100/22.31381)*0.53+0.47*'Agricultural production'!AS66/0.93226</f>
        <v>89.862734997535171</v>
      </c>
      <c r="M65" s="25">
        <f t="shared" si="3"/>
        <v>128.38942076214715</v>
      </c>
      <c r="N65" s="25">
        <f>+M65/(Population!O66/Population!X66)</f>
        <v>73.564283504015179</v>
      </c>
      <c r="O65" s="25"/>
      <c r="P65" s="24">
        <f t="shared" si="4"/>
        <v>0.62490073794470369</v>
      </c>
      <c r="Q65" s="24">
        <f t="shared" si="5"/>
        <v>0.1435905055333758</v>
      </c>
      <c r="R65" s="24">
        <f t="shared" si="6"/>
        <v>0.23150875652192052</v>
      </c>
      <c r="S65" s="25"/>
      <c r="T65" s="25">
        <f>((1000*E65)-J65*(Population!W66+Population!R66))/Population!T66</f>
        <v>223.73555140401368</v>
      </c>
      <c r="U65" s="25">
        <f t="shared" si="7"/>
        <v>248.97478516556444</v>
      </c>
      <c r="W65" s="24">
        <v>0.80211299245264778</v>
      </c>
      <c r="X65" s="47">
        <v>218.41620291584746</v>
      </c>
      <c r="Y65" s="48">
        <v>2688.2967555255418</v>
      </c>
      <c r="Z65" s="25">
        <f t="shared" si="8"/>
        <v>1355.332367777344</v>
      </c>
      <c r="AA65" s="25">
        <f t="shared" si="9"/>
        <v>2628.2818560295891</v>
      </c>
      <c r="AB65" s="25">
        <f t="shared" si="10"/>
        <v>776.57531246325459</v>
      </c>
      <c r="AC65" s="49">
        <v>1798.7863933332014</v>
      </c>
      <c r="AD65" s="41">
        <f>+resteconomy!AD65+resteconomy!V65/1000</f>
        <v>282.5499056635399</v>
      </c>
      <c r="AE65" s="24">
        <f t="shared" si="11"/>
        <v>0.13248196317147234</v>
      </c>
      <c r="AF65" s="24">
        <f>+resteconomy!AD65/E65</f>
        <v>7.0614452130074903E-2</v>
      </c>
      <c r="AG65" s="24">
        <f t="shared" si="12"/>
        <v>6.1867511041397441E-2</v>
      </c>
    </row>
    <row r="66" spans="1:33" x14ac:dyDescent="0.2">
      <c r="A66">
        <f t="shared" si="13"/>
        <v>1764</v>
      </c>
      <c r="B66" s="25">
        <f>+'Agricultural production'!AJ67</f>
        <v>1341.0497258884982</v>
      </c>
      <c r="C66" s="25">
        <f>+'incomeVOC and total income'!U66</f>
        <v>327.99782187501188</v>
      </c>
      <c r="D66" s="25">
        <f>+resteconomy!Q66/1000</f>
        <v>526.29012012345743</v>
      </c>
      <c r="E66" s="25">
        <f t="shared" si="0"/>
        <v>2195.3376678869672</v>
      </c>
      <c r="F66" s="25"/>
      <c r="G66" s="25">
        <f t="shared" si="1"/>
        <v>494.15209410603416</v>
      </c>
      <c r="H66" s="25">
        <f>+Population!X67/38.04</f>
        <v>510.27853143364536</v>
      </c>
      <c r="I66" s="25">
        <f>1000*E66/Population!X67</f>
        <v>113.09763512463088</v>
      </c>
      <c r="J66" s="41">
        <f>+'incomeVOC and total income'!G66/8.04</f>
        <v>18.680189664009216</v>
      </c>
      <c r="K66" s="25">
        <f t="shared" si="2"/>
        <v>83.715822909710241</v>
      </c>
      <c r="L66" s="25">
        <f>+(J66*100/22.31381)*0.53+0.47*'Agricultural production'!AS67/0.93226</f>
        <v>87.110501278171185</v>
      </c>
      <c r="M66" s="25">
        <f t="shared" si="3"/>
        <v>129.8323778019307</v>
      </c>
      <c r="N66" s="25">
        <f>+M66/(Population!O67/Population!X67)</f>
        <v>74.060805815130436</v>
      </c>
      <c r="O66" s="25"/>
      <c r="P66" s="24">
        <f t="shared" si="4"/>
        <v>0.61086262286897808</v>
      </c>
      <c r="Q66" s="24">
        <f t="shared" si="5"/>
        <v>0.14940654764545303</v>
      </c>
      <c r="R66" s="24">
        <f t="shared" si="6"/>
        <v>0.23973082948556909</v>
      </c>
      <c r="S66" s="25"/>
      <c r="T66" s="25">
        <f>((1000*E66)-J66*(Population!W67+Population!R67))/Population!T67</f>
        <v>214.47432754956876</v>
      </c>
      <c r="U66" s="25">
        <f t="shared" si="7"/>
        <v>246.20949759511186</v>
      </c>
      <c r="W66" s="24">
        <v>0.84823145144115397</v>
      </c>
      <c r="X66" s="47">
        <v>218.48153541571057</v>
      </c>
      <c r="Y66" s="48">
        <v>2697.5416913248209</v>
      </c>
      <c r="Z66" s="25">
        <f t="shared" si="8"/>
        <v>1370.5648251692494</v>
      </c>
      <c r="AA66" s="25">
        <f t="shared" si="9"/>
        <v>2599.090325074792</v>
      </c>
      <c r="AB66" s="25">
        <f t="shared" si="10"/>
        <v>781.81680943070978</v>
      </c>
      <c r="AC66" s="49">
        <v>1819.7059784094276</v>
      </c>
      <c r="AD66" s="41">
        <f>+resteconomy!AD66+resteconomy!V66/1000</f>
        <v>385.25807091552093</v>
      </c>
      <c r="AE66" s="24">
        <f t="shared" si="11"/>
        <v>0.17548920904105625</v>
      </c>
      <c r="AF66" s="24">
        <f>+resteconomy!AD66/E66</f>
        <v>0.1142691104613365</v>
      </c>
      <c r="AG66" s="24">
        <f t="shared" si="12"/>
        <v>6.1220098579719745E-2</v>
      </c>
    </row>
    <row r="67" spans="1:33" x14ac:dyDescent="0.2">
      <c r="A67">
        <f t="shared" si="13"/>
        <v>1765</v>
      </c>
      <c r="B67" s="25">
        <f>+'Agricultural production'!AJ68</f>
        <v>1431.236038533149</v>
      </c>
      <c r="C67" s="25">
        <f>+'incomeVOC and total income'!U67</f>
        <v>418.31615566027864</v>
      </c>
      <c r="D67" s="25">
        <f>+resteconomy!Q67/1000</f>
        <v>459.30991343442793</v>
      </c>
      <c r="E67" s="25">
        <f t="shared" si="0"/>
        <v>2308.8621076278555</v>
      </c>
      <c r="F67" s="25"/>
      <c r="G67" s="25">
        <f t="shared" si="1"/>
        <v>508.44263286396352</v>
      </c>
      <c r="H67" s="25">
        <f>+Population!X68/38.04</f>
        <v>515.37390712947183</v>
      </c>
      <c r="I67" s="25">
        <f>1000*E67/Population!X68</f>
        <v>117.77010469902561</v>
      </c>
      <c r="J67" s="41">
        <f>+'incomeVOC and total income'!G67/8.04</f>
        <v>19.309457287562687</v>
      </c>
      <c r="K67" s="25">
        <f t="shared" si="2"/>
        <v>86.53590439088029</v>
      </c>
      <c r="L67" s="25">
        <f>+(J67*100/22.31381)*0.53+0.47*'Agricultural production'!AS68/0.93226</f>
        <v>89.04014554584262</v>
      </c>
      <c r="M67" s="25">
        <f t="shared" si="3"/>
        <v>132.26629850733036</v>
      </c>
      <c r="N67" s="25">
        <f>+M67/(Population!O68/Population!X68)</f>
        <v>75.63260716331412</v>
      </c>
      <c r="O67" s="25"/>
      <c r="P67" s="24">
        <f t="shared" si="4"/>
        <v>0.61988805386200085</v>
      </c>
      <c r="Q67" s="24">
        <f t="shared" si="5"/>
        <v>0.18117849233103842</v>
      </c>
      <c r="R67" s="24">
        <f t="shared" si="6"/>
        <v>0.1989334538069607</v>
      </c>
      <c r="S67" s="25"/>
      <c r="T67" s="25">
        <f>((1000*E67)-J67*(Population!W68+Population!R68))/Population!T68</f>
        <v>226.05586786594733</v>
      </c>
      <c r="U67" s="25">
        <f t="shared" si="7"/>
        <v>253.8808382220823</v>
      </c>
      <c r="W67" s="24">
        <v>0.73597309978640812</v>
      </c>
      <c r="X67" s="47">
        <v>234.86381379309563</v>
      </c>
      <c r="Y67" s="48">
        <v>3042.6816785046894</v>
      </c>
      <c r="Z67" s="25">
        <f t="shared" si="8"/>
        <v>1396.2583090486019</v>
      </c>
      <c r="AA67" s="25">
        <f t="shared" si="9"/>
        <v>2680.0722018856554</v>
      </c>
      <c r="AB67" s="25">
        <f t="shared" si="10"/>
        <v>798.40940117435525</v>
      </c>
      <c r="AC67" s="49">
        <v>1732.6881872544486</v>
      </c>
      <c r="AD67" s="41">
        <f>+resteconomy!AD67+resteconomy!V67/1000</f>
        <v>482.91637934039193</v>
      </c>
      <c r="AE67" s="24">
        <f t="shared" si="11"/>
        <v>0.20915773953973557</v>
      </c>
      <c r="AF67" s="24">
        <f>+resteconomy!AD67/E67</f>
        <v>0.17016098352762876</v>
      </c>
      <c r="AG67" s="24">
        <f t="shared" si="12"/>
        <v>3.8996756012106809E-2</v>
      </c>
    </row>
    <row r="68" spans="1:33" x14ac:dyDescent="0.2">
      <c r="A68">
        <f t="shared" si="13"/>
        <v>1766</v>
      </c>
      <c r="B68" s="25">
        <f>+'Agricultural production'!AJ69</f>
        <v>1614.4399080326493</v>
      </c>
      <c r="C68" s="25">
        <f>+'incomeVOC and total income'!U68</f>
        <v>462.30022861459469</v>
      </c>
      <c r="D68" s="25">
        <f>+resteconomy!Q68/1000</f>
        <v>435.94959418671203</v>
      </c>
      <c r="E68" s="25">
        <f t="shared" ref="E68:E96" si="14">+D68+C68+B68</f>
        <v>2512.6897308339558</v>
      </c>
      <c r="F68" s="25"/>
      <c r="G68" s="25">
        <f t="shared" ref="G68:G97" si="15">+E68*100/(L68*5.1)</f>
        <v>557.75773336470616</v>
      </c>
      <c r="H68" s="25">
        <f>+Population!X69/38.04</f>
        <v>567.81736111508201</v>
      </c>
      <c r="I68" s="25">
        <f>1000*E68/Population!X69</f>
        <v>116.32945395654075</v>
      </c>
      <c r="J68" s="41">
        <f>+'incomeVOC and total income'!G68/8.04</f>
        <v>19.200364903564132</v>
      </c>
      <c r="K68" s="25">
        <f t="shared" ref="K68:K95" si="16">+J68/0.2231381</f>
        <v>86.047003642874671</v>
      </c>
      <c r="L68" s="25">
        <f>+(J68*100/22.31381)*0.53+0.47*'Agricultural production'!AS69/0.93226</f>
        <v>88.333021933320026</v>
      </c>
      <c r="M68" s="25">
        <f t="shared" ref="M68:M95" si="17">+I68*100/L68</f>
        <v>131.69418571953125</v>
      </c>
      <c r="N68" s="25">
        <f>+M68/(Population!O69/Population!X69)</f>
        <v>78.019728815538869</v>
      </c>
      <c r="O68" s="25"/>
      <c r="P68" s="24">
        <f t="shared" ref="P68:P95" si="18">+B68/E68</f>
        <v>0.64251462813788018</v>
      </c>
      <c r="Q68" s="24">
        <f t="shared" ref="Q68:Q95" si="19">+C68/E68</f>
        <v>0.18398619731738958</v>
      </c>
      <c r="R68" s="24">
        <f t="shared" ref="R68:R95" si="20">+D68/E68</f>
        <v>0.17349917454473035</v>
      </c>
      <c r="S68" s="25"/>
      <c r="T68" s="25">
        <f>((1000*E68)-J68*(Population!W69+Population!R69))/Population!T69</f>
        <v>211.20073979411171</v>
      </c>
      <c r="U68" s="25">
        <f t="shared" ref="U68:U95" si="21">+T68*100/L68</f>
        <v>239.09602000658472</v>
      </c>
      <c r="W68" s="24">
        <v>0.74633635694696121</v>
      </c>
      <c r="X68" s="47">
        <v>220.59587856772634</v>
      </c>
      <c r="Y68" s="48">
        <v>2717.8668171386889</v>
      </c>
      <c r="Z68" s="25">
        <f t="shared" ref="Z68:Z95" si="22">(2335*M68/177)*7.69/9.61</f>
        <v>1390.218847426916</v>
      </c>
      <c r="AA68" s="25">
        <f t="shared" ref="AA68:AA95" si="23">+(U68*2335/177)*7.69/9.61</f>
        <v>2523.9974835777448</v>
      </c>
      <c r="AB68" s="25">
        <f t="shared" ref="AB68:AB95" si="24">+Z68/(M68/N68)</f>
        <v>823.60885469534344</v>
      </c>
      <c r="AC68" s="49">
        <v>1795.9696866578026</v>
      </c>
      <c r="AD68" s="41">
        <f>+resteconomy!AD68+resteconomy!V68/1000</f>
        <v>397.20480083750937</v>
      </c>
      <c r="AE68" s="24">
        <f t="shared" ref="AE68:AE96" si="25">+AD68/E68</f>
        <v>0.15807952568249564</v>
      </c>
      <c r="AF68" s="24">
        <f>+resteconomy!AD68/E68</f>
        <v>0.13887223140009264</v>
      </c>
      <c r="AG68" s="24">
        <f t="shared" ref="AG68:AG96" si="26">+AE68-AF68</f>
        <v>1.9207294282403004E-2</v>
      </c>
    </row>
    <row r="69" spans="1:33" x14ac:dyDescent="0.2">
      <c r="A69">
        <f t="shared" ref="A69:A100" si="27">+A68+1</f>
        <v>1767</v>
      </c>
      <c r="B69" s="25">
        <f>+'Agricultural production'!AJ70</f>
        <v>1572.9974371272942</v>
      </c>
      <c r="C69" s="25">
        <f>+'incomeVOC and total income'!U69</f>
        <v>347.18071142270992</v>
      </c>
      <c r="D69" s="25">
        <f>+resteconomy!Q69/1000</f>
        <v>466.75768302611846</v>
      </c>
      <c r="E69" s="25">
        <f t="shared" si="14"/>
        <v>2386.9358315761228</v>
      </c>
      <c r="F69" s="25"/>
      <c r="G69" s="25">
        <f t="shared" si="15"/>
        <v>528.52920978458008</v>
      </c>
      <c r="H69" s="25">
        <f>+Population!X70/38.04</f>
        <v>547.75592733958092</v>
      </c>
      <c r="I69" s="25">
        <f>1000*E69/Population!X70</f>
        <v>114.55476265953328</v>
      </c>
      <c r="J69" s="41">
        <f>+'incomeVOC and total income'!G69/8.04</f>
        <v>19.159449443850701</v>
      </c>
      <c r="K69" s="25">
        <f t="shared" si="16"/>
        <v>85.863639799078243</v>
      </c>
      <c r="L69" s="25">
        <f>+(J69*100/22.31381)*0.53+0.47*'Agricultural production'!AS70/0.93226</f>
        <v>88.55265233744359</v>
      </c>
      <c r="M69" s="25">
        <f t="shared" si="17"/>
        <v>129.36344608064886</v>
      </c>
      <c r="N69" s="25">
        <f>+M69/(Population!O70/Population!X70)</f>
        <v>75.446683235043466</v>
      </c>
      <c r="O69" s="25"/>
      <c r="P69" s="24">
        <f t="shared" si="18"/>
        <v>0.65900281705043773</v>
      </c>
      <c r="Q69" s="24">
        <f t="shared" si="19"/>
        <v>0.14545037484039203</v>
      </c>
      <c r="R69" s="24">
        <f t="shared" si="20"/>
        <v>0.19554680810917011</v>
      </c>
      <c r="S69" s="25"/>
      <c r="T69" s="25">
        <f>((1000*E69)-J69*(Population!W70+Population!R70))/Population!T70</f>
        <v>220.18063106903469</v>
      </c>
      <c r="U69" s="25">
        <f t="shared" si="21"/>
        <v>248.64374500043465</v>
      </c>
      <c r="W69" s="24">
        <v>0.76681729393967069</v>
      </c>
      <c r="X69" s="47">
        <v>214.54049843381551</v>
      </c>
      <c r="Y69" s="48">
        <v>2610.8595454048204</v>
      </c>
      <c r="Z69" s="25">
        <f t="shared" si="22"/>
        <v>1365.6145859956632</v>
      </c>
      <c r="AA69" s="25">
        <f t="shared" si="23"/>
        <v>2624.7872577350308</v>
      </c>
      <c r="AB69" s="25">
        <f t="shared" si="24"/>
        <v>796.44671050690249</v>
      </c>
      <c r="AC69" s="49">
        <v>1784.6132023602302</v>
      </c>
      <c r="AD69" s="41">
        <f>+resteconomy!AD69+resteconomy!V69/1000</f>
        <v>443.47607887370111</v>
      </c>
      <c r="AE69" s="24">
        <f t="shared" si="25"/>
        <v>0.18579304604969982</v>
      </c>
      <c r="AF69" s="24">
        <f>+resteconomy!AD69/E69</f>
        <v>0.15374358791680728</v>
      </c>
      <c r="AG69" s="24">
        <f t="shared" si="26"/>
        <v>3.2049458132892533E-2</v>
      </c>
    </row>
    <row r="70" spans="1:33" x14ac:dyDescent="0.2">
      <c r="A70">
        <f t="shared" si="27"/>
        <v>1768</v>
      </c>
      <c r="B70" s="25">
        <f>+'Agricultural production'!AJ71</f>
        <v>1617.3453532529961</v>
      </c>
      <c r="C70" s="25">
        <f>+'incomeVOC and total income'!U70</f>
        <v>368.6431494617583</v>
      </c>
      <c r="D70" s="25">
        <f>+resteconomy!Q70/1000</f>
        <v>494.48543973317675</v>
      </c>
      <c r="E70" s="25">
        <f t="shared" si="14"/>
        <v>2480.4739424479312</v>
      </c>
      <c r="F70" s="25"/>
      <c r="G70" s="25">
        <f t="shared" si="15"/>
        <v>547.83707507998895</v>
      </c>
      <c r="H70" s="25">
        <f>+Population!X71/38.04</f>
        <v>555.37002153967546</v>
      </c>
      <c r="I70" s="25">
        <f>1000*E70/Population!X71</f>
        <v>117.41179501481804</v>
      </c>
      <c r="J70" s="41">
        <f>+'incomeVOC and total income'!G70/8.04</f>
        <v>19.140832821525489</v>
      </c>
      <c r="K70" s="25">
        <f t="shared" si="16"/>
        <v>85.780208855078939</v>
      </c>
      <c r="L70" s="25">
        <f>+(J70*100/22.31381)*0.53+0.47*'Agricultural production'!AS71/0.93226</f>
        <v>88.779577326828246</v>
      </c>
      <c r="M70" s="25">
        <f t="shared" si="17"/>
        <v>132.25090561378178</v>
      </c>
      <c r="N70" s="25">
        <f>+M70/(Population!O71/Population!X71)</f>
        <v>77.47857459589585</v>
      </c>
      <c r="O70" s="25"/>
      <c r="P70" s="24">
        <f t="shared" si="18"/>
        <v>0.65203077749604155</v>
      </c>
      <c r="Q70" s="24">
        <f t="shared" si="19"/>
        <v>0.14861802946333377</v>
      </c>
      <c r="R70" s="24">
        <f t="shared" si="20"/>
        <v>0.19935119304062462</v>
      </c>
      <c r="S70" s="25"/>
      <c r="T70" s="25">
        <f>((1000*E70)-J70*(Population!W71+Population!R71))/Population!T71</f>
        <v>226.10039285329822</v>
      </c>
      <c r="U70" s="25">
        <f t="shared" si="21"/>
        <v>254.67613122435208</v>
      </c>
      <c r="W70" s="24">
        <v>0.84985267076072735</v>
      </c>
      <c r="X70" s="47">
        <v>217.20909834489854</v>
      </c>
      <c r="Y70" s="48">
        <v>2685.6585070012784</v>
      </c>
      <c r="Z70" s="25">
        <f t="shared" si="22"/>
        <v>1396.0958152330188</v>
      </c>
      <c r="AA70" s="25">
        <f t="shared" si="23"/>
        <v>2688.4676470979207</v>
      </c>
      <c r="AB70" s="25">
        <f t="shared" si="24"/>
        <v>817.89620465387134</v>
      </c>
      <c r="AC70" s="49">
        <v>1794.9651459032016</v>
      </c>
      <c r="AD70" s="41">
        <f>+resteconomy!AD70+resteconomy!V70/1000</f>
        <v>462.39241303721712</v>
      </c>
      <c r="AE70" s="24">
        <f t="shared" si="25"/>
        <v>0.18641292904729775</v>
      </c>
      <c r="AF70" s="24">
        <f>+resteconomy!AD70/E70</f>
        <v>0.16018655723387359</v>
      </c>
      <c r="AG70" s="24">
        <f t="shared" si="26"/>
        <v>2.622637181342416E-2</v>
      </c>
    </row>
    <row r="71" spans="1:33" x14ac:dyDescent="0.2">
      <c r="A71">
        <f t="shared" si="27"/>
        <v>1769</v>
      </c>
      <c r="B71" s="25">
        <f>+'Agricultural production'!AJ72</f>
        <v>1604.2311115328239</v>
      </c>
      <c r="C71" s="25">
        <f>+'incomeVOC and total income'!U71</f>
        <v>361.31209374959087</v>
      </c>
      <c r="D71" s="25">
        <f>+resteconomy!Q71/1000</f>
        <v>600.46843894673248</v>
      </c>
      <c r="E71" s="25">
        <f t="shared" si="14"/>
        <v>2566.0116442291474</v>
      </c>
      <c r="F71" s="25"/>
      <c r="G71" s="25">
        <f t="shared" si="15"/>
        <v>571.08681619594586</v>
      </c>
      <c r="H71" s="25">
        <f>+Population!X72/38.04</f>
        <v>573.62862853378022</v>
      </c>
      <c r="I71" s="25">
        <f>1000*E71/Population!X72</f>
        <v>117.59457765745822</v>
      </c>
      <c r="J71" s="41">
        <f>+'incomeVOC and total income'!G71/9.61</f>
        <v>19.135154612071798</v>
      </c>
      <c r="K71" s="25">
        <f t="shared" si="16"/>
        <v>85.754761791338183</v>
      </c>
      <c r="L71" s="25">
        <f>+(J71*100/22.31381)*0.53+0.47*'Agricultural production'!AS72/0.93226</f>
        <v>88.102110539969829</v>
      </c>
      <c r="M71" s="25">
        <f t="shared" si="17"/>
        <v>133.47532418546132</v>
      </c>
      <c r="N71" s="25">
        <f>+M71/(Population!O72/Population!X72)</f>
        <v>78.648437025776147</v>
      </c>
      <c r="O71" s="25"/>
      <c r="P71" s="24">
        <f t="shared" si="18"/>
        <v>0.62518465773164844</v>
      </c>
      <c r="Q71" s="24">
        <f t="shared" si="19"/>
        <v>0.1408068800319619</v>
      </c>
      <c r="R71" s="24">
        <f t="shared" si="20"/>
        <v>0.23400846223638963</v>
      </c>
      <c r="S71" s="25"/>
      <c r="T71" s="25">
        <f>((1000*E71)-J71*(Population!W72+Population!R72))/Population!T72</f>
        <v>225.85624432992356</v>
      </c>
      <c r="U71" s="25">
        <f t="shared" si="21"/>
        <v>256.35735959748428</v>
      </c>
      <c r="W71" s="24">
        <v>1.0954815557389912</v>
      </c>
      <c r="X71" s="47">
        <v>233.39427426585812</v>
      </c>
      <c r="Y71" s="48">
        <v>2838.7780384184616</v>
      </c>
      <c r="Z71" s="25">
        <f t="shared" si="22"/>
        <v>1409.0212892483532</v>
      </c>
      <c r="AA71" s="25">
        <f t="shared" si="23"/>
        <v>2706.2153962364814</v>
      </c>
      <c r="AB71" s="25">
        <f t="shared" si="24"/>
        <v>830.24576124234432</v>
      </c>
      <c r="AC71" s="49">
        <v>1885.1783676146445</v>
      </c>
      <c r="AD71" s="41">
        <f>+resteconomy!AD71+resteconomy!V71/1000</f>
        <v>475.73361641649689</v>
      </c>
      <c r="AE71" s="24">
        <f t="shared" si="25"/>
        <v>0.18539807388887025</v>
      </c>
      <c r="AF71" s="24">
        <f>+resteconomy!AD71/E71</f>
        <v>0.12511993978097197</v>
      </c>
      <c r="AG71" s="24">
        <f t="shared" si="26"/>
        <v>6.0278134107898285E-2</v>
      </c>
    </row>
    <row r="72" spans="1:33" x14ac:dyDescent="0.2">
      <c r="A72">
        <f t="shared" si="27"/>
        <v>1770</v>
      </c>
      <c r="B72" s="25">
        <f>+'Agricultural production'!AJ73</f>
        <v>1629.805596612832</v>
      </c>
      <c r="C72" s="25">
        <f>+'incomeVOC and total income'!U72</f>
        <v>356.78029122324864</v>
      </c>
      <c r="D72" s="25">
        <f>+resteconomy!Q72/1000</f>
        <v>572.78193974767908</v>
      </c>
      <c r="E72" s="25">
        <f t="shared" si="14"/>
        <v>2559.3678275837597</v>
      </c>
      <c r="F72" s="25"/>
      <c r="G72" s="25">
        <f t="shared" si="15"/>
        <v>601.59994512119158</v>
      </c>
      <c r="H72" s="25">
        <f>+Population!X73/38.04</f>
        <v>591.86565808928742</v>
      </c>
      <c r="I72" s="25">
        <f>1000*E72/Population!X73</f>
        <v>113.67607150487129</v>
      </c>
      <c r="J72" s="41">
        <f>+'incomeVOC and total income'!G72/9.61</f>
        <v>18.275079205784966</v>
      </c>
      <c r="K72" s="25">
        <f t="shared" si="16"/>
        <v>81.900308399977263</v>
      </c>
      <c r="L72" s="25">
        <f>+(J72*100/22.31381)*0.53+0.47*'Agricultural production'!AS73/0.93226</f>
        <v>83.417033696187872</v>
      </c>
      <c r="M72" s="25">
        <f t="shared" si="17"/>
        <v>136.27441119386896</v>
      </c>
      <c r="N72" s="25">
        <f>+M72/(Population!O73/Population!X73)</f>
        <v>81.822682403222558</v>
      </c>
      <c r="O72" s="25"/>
      <c r="P72" s="24">
        <f t="shared" si="18"/>
        <v>0.63680006408125167</v>
      </c>
      <c r="Q72" s="24">
        <f t="shared" si="19"/>
        <v>0.13940172544877097</v>
      </c>
      <c r="R72" s="24">
        <f t="shared" si="20"/>
        <v>0.22379821046997739</v>
      </c>
      <c r="S72" s="25"/>
      <c r="T72" s="25">
        <f>((1000*E72)-J72*(Population!W73+Population!R73))/Population!T73</f>
        <v>221.25486591803343</v>
      </c>
      <c r="U72" s="25">
        <f t="shared" si="21"/>
        <v>265.23943146175992</v>
      </c>
      <c r="W72" s="24">
        <v>0.84856346651787629</v>
      </c>
      <c r="X72" s="47">
        <v>226.1422244824337</v>
      </c>
      <c r="Y72" s="48">
        <v>2705.8153171080007</v>
      </c>
      <c r="Z72" s="25">
        <f t="shared" si="22"/>
        <v>1438.5696211919023</v>
      </c>
      <c r="AA72" s="25">
        <f t="shared" si="23"/>
        <v>2799.9782578423374</v>
      </c>
      <c r="AB72" s="25">
        <f t="shared" si="24"/>
        <v>863.75442167388292</v>
      </c>
      <c r="AC72" s="49">
        <v>1829.1723359634359</v>
      </c>
      <c r="AD72" s="41">
        <f>+resteconomy!AD72+resteconomy!V72/1000</f>
        <v>557.48300373733514</v>
      </c>
      <c r="AE72" s="24">
        <f t="shared" si="25"/>
        <v>0.21782058746266339</v>
      </c>
      <c r="AF72" s="24">
        <f>+resteconomy!AD72/E72</f>
        <v>0.15876948935720439</v>
      </c>
      <c r="AG72" s="24">
        <f t="shared" si="26"/>
        <v>5.9051098105458999E-2</v>
      </c>
    </row>
    <row r="73" spans="1:33" x14ac:dyDescent="0.2">
      <c r="A73">
        <f t="shared" si="27"/>
        <v>1771</v>
      </c>
      <c r="B73" s="25">
        <f>+'Agricultural production'!AJ74</f>
        <v>1654.1385943147209</v>
      </c>
      <c r="C73" s="25">
        <f>+'incomeVOC and total income'!U73</f>
        <v>383.82160046918079</v>
      </c>
      <c r="D73" s="25">
        <f>+resteconomy!Q73/1000</f>
        <v>564.05673320905646</v>
      </c>
      <c r="E73" s="25">
        <f t="shared" si="14"/>
        <v>2602.0169279929582</v>
      </c>
      <c r="F73" s="25"/>
      <c r="G73" s="25">
        <f t="shared" si="15"/>
        <v>630.50014948825424</v>
      </c>
      <c r="H73" s="25">
        <f>+Population!X74/38.04</f>
        <v>623.1608130097012</v>
      </c>
      <c r="I73" s="25">
        <f>1000*E73/Population!X74</f>
        <v>109.76641344670846</v>
      </c>
      <c r="J73" s="41">
        <f>+'incomeVOC and total income'!G73/9.61</f>
        <v>17.274401893149502</v>
      </c>
      <c r="K73" s="25">
        <f t="shared" si="16"/>
        <v>77.415743403522313</v>
      </c>
      <c r="L73" s="25">
        <f>+(J73*100/22.31381)*0.53+0.47*'Agricultural production'!AS74/0.93226</f>
        <v>80.919790115796445</v>
      </c>
      <c r="M73" s="25">
        <f t="shared" si="17"/>
        <v>135.64841590621083</v>
      </c>
      <c r="N73" s="25">
        <f>+M73/(Population!O74/Population!X74)</f>
        <v>80.983503318967436</v>
      </c>
      <c r="O73" s="25"/>
      <c r="P73" s="24">
        <f t="shared" si="18"/>
        <v>0.63571400190337168</v>
      </c>
      <c r="Q73" s="24">
        <f t="shared" si="19"/>
        <v>0.14750926342559886</v>
      </c>
      <c r="R73" s="24">
        <f t="shared" si="20"/>
        <v>0.21677673467102937</v>
      </c>
      <c r="S73" s="25"/>
      <c r="T73" s="25">
        <f>((1000*E73)-J73*(Population!W74+Population!R74))/Population!T74</f>
        <v>217.92428023124353</v>
      </c>
      <c r="U73" s="25">
        <f t="shared" si="21"/>
        <v>269.30900329745452</v>
      </c>
      <c r="W73" s="24">
        <v>0.77819928651559256</v>
      </c>
      <c r="X73" s="47">
        <v>273.39351095036801</v>
      </c>
      <c r="Y73" s="48">
        <v>2943.2534547007381</v>
      </c>
      <c r="Z73" s="25">
        <f t="shared" si="22"/>
        <v>1431.9613533891295</v>
      </c>
      <c r="AA73" s="25">
        <f t="shared" si="23"/>
        <v>2842.938358442294</v>
      </c>
      <c r="AB73" s="25">
        <f t="shared" si="24"/>
        <v>854.89569664419548</v>
      </c>
      <c r="AC73" s="49">
        <v>1849.0946283766307</v>
      </c>
      <c r="AD73" s="41">
        <f>+resteconomy!AD73+resteconomy!V73/1000</f>
        <v>548.79524547927349</v>
      </c>
      <c r="AE73" s="24">
        <f t="shared" si="25"/>
        <v>0.21091148161844653</v>
      </c>
      <c r="AF73" s="24">
        <f>+resteconomy!AD73/E73</f>
        <v>0.1567036818728961</v>
      </c>
      <c r="AG73" s="24">
        <f t="shared" si="26"/>
        <v>5.4207799745550428E-2</v>
      </c>
    </row>
    <row r="74" spans="1:33" x14ac:dyDescent="0.2">
      <c r="A74">
        <f t="shared" si="27"/>
        <v>1772</v>
      </c>
      <c r="B74" s="25">
        <f>+'Agricultural production'!AJ75</f>
        <v>1599.1322064035469</v>
      </c>
      <c r="C74" s="25">
        <f>+'incomeVOC and total income'!U74</f>
        <v>388.54995941608195</v>
      </c>
      <c r="D74" s="25">
        <f>+resteconomy!Q74/1000</f>
        <v>484.33537516777136</v>
      </c>
      <c r="E74" s="25">
        <f t="shared" si="14"/>
        <v>2472.0175409874</v>
      </c>
      <c r="F74" s="25"/>
      <c r="G74" s="25">
        <f t="shared" si="15"/>
        <v>611.35008785037053</v>
      </c>
      <c r="H74" s="25">
        <f>+Population!X75/38.04</f>
        <v>648.06040452240757</v>
      </c>
      <c r="I74" s="25">
        <f>1000*E74/Population!X75</f>
        <v>100.27566534753967</v>
      </c>
      <c r="J74" s="41">
        <f>+'incomeVOC and total income'!G74/9.61</f>
        <v>16.725947180952744</v>
      </c>
      <c r="K74" s="25">
        <f t="shared" si="16"/>
        <v>74.957827376645866</v>
      </c>
      <c r="L74" s="25">
        <f>+(J74*100/22.31381)*0.53+0.47*'Agricultural production'!AS75/0.93226</f>
        <v>79.285066183039334</v>
      </c>
      <c r="M74" s="25">
        <f t="shared" si="17"/>
        <v>126.47484598933292</v>
      </c>
      <c r="N74" s="25">
        <f>+M74/(Population!O75/Population!X75)</f>
        <v>75.467499982280941</v>
      </c>
      <c r="O74" s="25"/>
      <c r="P74" s="24">
        <f t="shared" si="18"/>
        <v>0.64689355147731042</v>
      </c>
      <c r="Q74" s="24">
        <f t="shared" si="19"/>
        <v>0.1571792889709363</v>
      </c>
      <c r="R74" s="24">
        <f t="shared" si="20"/>
        <v>0.19592715955175338</v>
      </c>
      <c r="S74" s="25"/>
      <c r="T74" s="25">
        <f>((1000*E74)-J74*(Population!W75+Population!R75))/Population!T75</f>
        <v>199.81557598943809</v>
      </c>
      <c r="U74" s="25">
        <f t="shared" si="21"/>
        <v>252.02170548503955</v>
      </c>
      <c r="W74" s="24">
        <v>0.89429397677794342</v>
      </c>
      <c r="X74" s="47">
        <v>284.99333173162785</v>
      </c>
      <c r="Y74" s="48">
        <v>2992.2159544849778</v>
      </c>
      <c r="Z74" s="25">
        <f t="shared" si="22"/>
        <v>1335.1213165495924</v>
      </c>
      <c r="AA74" s="25">
        <f t="shared" si="23"/>
        <v>2660.4464199516706</v>
      </c>
      <c r="AB74" s="25">
        <f t="shared" si="24"/>
        <v>796.66646078815847</v>
      </c>
      <c r="AC74" s="49">
        <v>1783.6917728034582</v>
      </c>
      <c r="AD74" s="41">
        <f>+resteconomy!AD74+resteconomy!V74/1000</f>
        <v>496.37804812535461</v>
      </c>
      <c r="AE74" s="24">
        <f t="shared" si="25"/>
        <v>0.2007987564388746</v>
      </c>
      <c r="AF74" s="24">
        <f>+resteconomy!AD74/E74</f>
        <v>0.15626661566661262</v>
      </c>
      <c r="AG74" s="24">
        <f t="shared" si="26"/>
        <v>4.4532140772261974E-2</v>
      </c>
    </row>
    <row r="75" spans="1:33" x14ac:dyDescent="0.2">
      <c r="A75">
        <f t="shared" si="27"/>
        <v>1773</v>
      </c>
      <c r="B75" s="25">
        <f>+'Agricultural production'!AJ76</f>
        <v>2138.28448549002</v>
      </c>
      <c r="C75" s="25">
        <f>+'incomeVOC and total income'!U75</f>
        <v>432.48515012512888</v>
      </c>
      <c r="D75" s="25">
        <f>+resteconomy!Q75/1000</f>
        <v>564.44570764309344</v>
      </c>
      <c r="E75" s="25">
        <f t="shared" si="14"/>
        <v>3135.2153432582422</v>
      </c>
      <c r="F75" s="25"/>
      <c r="G75" s="25">
        <f t="shared" si="15"/>
        <v>759.21613593192831</v>
      </c>
      <c r="H75" s="25">
        <f>+Population!X76/38.04</f>
        <v>668.7494666175611</v>
      </c>
      <c r="I75" s="25">
        <f>1000*E75/Population!X76</f>
        <v>123.24332847269892</v>
      </c>
      <c r="J75" s="41">
        <f>+'incomeVOC and total income'!G75/9.61</f>
        <v>17.452079478521274</v>
      </c>
      <c r="K75" s="25">
        <f t="shared" si="16"/>
        <v>78.212010761592367</v>
      </c>
      <c r="L75" s="25">
        <f>+(J75*100/22.31381)*0.53+0.47*'Agricultural production'!AS76/0.93226</f>
        <v>80.971422685402814</v>
      </c>
      <c r="M75" s="25">
        <f t="shared" si="17"/>
        <v>152.20595660216392</v>
      </c>
      <c r="N75" s="25">
        <f>+M75/(Population!O76/Population!X76)</f>
        <v>91.419687375235625</v>
      </c>
      <c r="O75" s="25"/>
      <c r="P75" s="24">
        <f t="shared" si="18"/>
        <v>0.68202156833917138</v>
      </c>
      <c r="Q75" s="24">
        <f t="shared" si="19"/>
        <v>0.13794432049304559</v>
      </c>
      <c r="R75" s="24">
        <f t="shared" si="20"/>
        <v>0.18003411116778303</v>
      </c>
      <c r="S75" s="25"/>
      <c r="T75" s="25">
        <f>((1000*E75)-J75*(Population!W76+Population!R76))/Population!T76</f>
        <v>248.61083522322127</v>
      </c>
      <c r="U75" s="25">
        <f t="shared" si="21"/>
        <v>307.03528106347545</v>
      </c>
      <c r="W75" s="24">
        <v>0.80608602339422863</v>
      </c>
      <c r="X75" s="47">
        <v>250.06779066996765</v>
      </c>
      <c r="Y75" s="48">
        <v>2843.6690791269157</v>
      </c>
      <c r="Z75" s="25">
        <f t="shared" si="22"/>
        <v>1606.7496708595368</v>
      </c>
      <c r="AA75" s="25">
        <f t="shared" si="23"/>
        <v>3241.1927089060505</v>
      </c>
      <c r="AB75" s="25">
        <f t="shared" si="24"/>
        <v>965.06441587026086</v>
      </c>
      <c r="AC75" s="49">
        <v>1794.9259972080724</v>
      </c>
      <c r="AD75" s="41">
        <f>+resteconomy!AD75+resteconomy!V75/1000</f>
        <v>704.992315559026</v>
      </c>
      <c r="AE75" s="24">
        <f t="shared" si="25"/>
        <v>0.22486248578586299</v>
      </c>
      <c r="AF75" s="24">
        <f>+resteconomy!AD75/E75</f>
        <v>0.19753865949628649</v>
      </c>
      <c r="AG75" s="24">
        <f t="shared" si="26"/>
        <v>2.7323826289576497E-2</v>
      </c>
    </row>
    <row r="76" spans="1:33" x14ac:dyDescent="0.2">
      <c r="A76">
        <f t="shared" si="27"/>
        <v>1774</v>
      </c>
      <c r="B76" s="25">
        <f>+'Agricultural production'!AJ77</f>
        <v>1973.2635024329461</v>
      </c>
      <c r="C76" s="25">
        <f>+'incomeVOC and total income'!U76</f>
        <v>563.72673894420825</v>
      </c>
      <c r="D76" s="25">
        <f>+resteconomy!Q76/1000</f>
        <v>512.04676448038163</v>
      </c>
      <c r="E76" s="25">
        <f t="shared" si="14"/>
        <v>3049.0370058575359</v>
      </c>
      <c r="F76" s="25"/>
      <c r="G76" s="25">
        <f t="shared" si="15"/>
        <v>788.4600920754732</v>
      </c>
      <c r="H76" s="25">
        <f>+Population!X77/38.04</f>
        <v>702.23327020594547</v>
      </c>
      <c r="I76" s="25">
        <f>1000*E76/Population!X77</f>
        <v>114.14076674821287</v>
      </c>
      <c r="J76" s="41">
        <f>+'incomeVOC and total income'!G76/9.61</f>
        <v>17.689442577542778</v>
      </c>
      <c r="K76" s="25">
        <f t="shared" si="16"/>
        <v>79.275760515764802</v>
      </c>
      <c r="L76" s="25">
        <f>+(J76*100/22.31381)*0.53+0.47*'Agricultural production'!AS77/0.93226</f>
        <v>75.825067028017912</v>
      </c>
      <c r="M76" s="25">
        <f t="shared" si="17"/>
        <v>150.53170570365211</v>
      </c>
      <c r="N76" s="25">
        <f>+M76/(Population!O77/Population!X77)</f>
        <v>90.590815017500361</v>
      </c>
      <c r="O76" s="25"/>
      <c r="P76" s="24">
        <f t="shared" si="18"/>
        <v>0.64717597675662497</v>
      </c>
      <c r="Q76" s="24">
        <f t="shared" si="19"/>
        <v>0.1848868143814677</v>
      </c>
      <c r="R76" s="24">
        <f t="shared" si="20"/>
        <v>0.16793720886190736</v>
      </c>
      <c r="S76" s="25"/>
      <c r="T76" s="25">
        <f>((1000*E76)-J76*(Population!W77+Population!R77))/Population!T77</f>
        <v>235.25747300823062</v>
      </c>
      <c r="U76" s="25">
        <f t="shared" si="21"/>
        <v>310.26345538382617</v>
      </c>
      <c r="W76" s="24">
        <v>0.80559317980676215</v>
      </c>
      <c r="X76" s="47">
        <v>236.80938969271563</v>
      </c>
      <c r="Y76" s="48">
        <v>2851.0497859261777</v>
      </c>
      <c r="Z76" s="25">
        <f t="shared" si="22"/>
        <v>1589.0755788583181</v>
      </c>
      <c r="AA76" s="25">
        <f t="shared" si="23"/>
        <v>3275.2706657908666</v>
      </c>
      <c r="AB76" s="25">
        <f t="shared" si="24"/>
        <v>956.31449295195648</v>
      </c>
      <c r="AC76" s="49">
        <v>1754.1407433855861</v>
      </c>
      <c r="AD76" s="41">
        <f>+resteconomy!AD76+resteconomy!V76/1000</f>
        <v>973.03409337589312</v>
      </c>
      <c r="AE76" s="24">
        <f t="shared" si="25"/>
        <v>0.31912833183283362</v>
      </c>
      <c r="AF76" s="24">
        <f>+resteconomy!AD76/E76</f>
        <v>0.28407902370672466</v>
      </c>
      <c r="AG76" s="24">
        <f t="shared" si="26"/>
        <v>3.5049308126108958E-2</v>
      </c>
    </row>
    <row r="77" spans="1:33" x14ac:dyDescent="0.2">
      <c r="A77">
        <f t="shared" si="27"/>
        <v>1775</v>
      </c>
      <c r="B77" s="25">
        <f>+'Agricultural production'!AJ78</f>
        <v>1899.3853267857921</v>
      </c>
      <c r="C77" s="25">
        <f>+'incomeVOC and total income'!U77</f>
        <v>495.21294536649503</v>
      </c>
      <c r="D77" s="25">
        <f>+resteconomy!Q77/1000</f>
        <v>682.78890791251069</v>
      </c>
      <c r="E77" s="25">
        <f t="shared" si="14"/>
        <v>3077.3871800647976</v>
      </c>
      <c r="F77" s="25"/>
      <c r="G77" s="25">
        <f t="shared" si="15"/>
        <v>779.08134801288145</v>
      </c>
      <c r="H77" s="25">
        <f>+Population!X78/38.04</f>
        <v>723.38156623978671</v>
      </c>
      <c r="I77" s="25">
        <f>1000*E77/Population!X78</f>
        <v>111.83408645082547</v>
      </c>
      <c r="J77" s="41">
        <f>+'incomeVOC and total income'!G77/9.61</f>
        <v>18.045934720484382</v>
      </c>
      <c r="K77" s="25">
        <f t="shared" si="16"/>
        <v>80.87339060646471</v>
      </c>
      <c r="L77" s="25">
        <f>+(J77*100/22.31381)*0.53+0.47*'Agricultural production'!AS78/0.93226</f>
        <v>77.451379439662929</v>
      </c>
      <c r="M77" s="25">
        <f t="shared" si="17"/>
        <v>144.39263349460128</v>
      </c>
      <c r="N77" s="25">
        <f>+M77/(Population!O78/Population!X78)</f>
        <v>88.028937318330648</v>
      </c>
      <c r="O77" s="25"/>
      <c r="P77" s="24">
        <f t="shared" si="18"/>
        <v>0.61720713567988494</v>
      </c>
      <c r="Q77" s="24">
        <f t="shared" si="19"/>
        <v>0.16091993512368757</v>
      </c>
      <c r="R77" s="24">
        <f t="shared" si="20"/>
        <v>0.22187292919642757</v>
      </c>
      <c r="S77" s="25"/>
      <c r="T77" s="25">
        <f>((1000*E77)-J77*(Population!W78+Population!R78))/Population!T78</f>
        <v>233.69494237070452</v>
      </c>
      <c r="U77" s="25">
        <f t="shared" si="21"/>
        <v>301.73115580563706</v>
      </c>
      <c r="W77" s="24">
        <v>0.87899116983879499</v>
      </c>
      <c r="X77" s="47">
        <v>237.53111197460223</v>
      </c>
      <c r="Y77" s="48">
        <v>2796.7432890711752</v>
      </c>
      <c r="Z77" s="25">
        <f t="shared" si="22"/>
        <v>1524.2689676620312</v>
      </c>
      <c r="AA77" s="25">
        <f t="shared" si="23"/>
        <v>3185.2001465748308</v>
      </c>
      <c r="AB77" s="25">
        <f t="shared" si="24"/>
        <v>929.27024158482698</v>
      </c>
      <c r="AC77" s="49">
        <v>1802.1558492629206</v>
      </c>
      <c r="AD77" s="41">
        <f>+resteconomy!AD77+resteconomy!V77/1000</f>
        <v>791.97199054130238</v>
      </c>
      <c r="AE77" s="24">
        <f t="shared" si="25"/>
        <v>0.25735207960560447</v>
      </c>
      <c r="AF77" s="24">
        <f>+resteconomy!AD77/E77</f>
        <v>0.20429337515939783</v>
      </c>
      <c r="AG77" s="24">
        <f t="shared" si="26"/>
        <v>5.3058704446206639E-2</v>
      </c>
    </row>
    <row r="78" spans="1:33" x14ac:dyDescent="0.2">
      <c r="A78">
        <f t="shared" si="27"/>
        <v>1776</v>
      </c>
      <c r="B78" s="25">
        <f>+'Agricultural production'!AJ79</f>
        <v>1873.2253954052262</v>
      </c>
      <c r="C78" s="25">
        <f>+'incomeVOC and total income'!U78</f>
        <v>477.40100693062135</v>
      </c>
      <c r="D78" s="25">
        <f>+resteconomy!Q78/1000</f>
        <v>631.31479460926562</v>
      </c>
      <c r="E78" s="25">
        <f t="shared" si="14"/>
        <v>2981.941196945113</v>
      </c>
      <c r="F78" s="25"/>
      <c r="G78" s="25">
        <f t="shared" si="15"/>
        <v>762.80388643611536</v>
      </c>
      <c r="H78" s="25">
        <f>+Population!X79/38.04</f>
        <v>779.65722128777054</v>
      </c>
      <c r="I78" s="25">
        <f>1000*E78/Population!X79</f>
        <v>100.54369950081353</v>
      </c>
      <c r="J78" s="41">
        <f>+'incomeVOC and total income'!G78/9.61</f>
        <v>17.930970418258628</v>
      </c>
      <c r="K78" s="25">
        <f t="shared" si="16"/>
        <v>80.35817468311609</v>
      </c>
      <c r="L78" s="25">
        <f>+(J78*100/22.31381)*0.53+0.47*'Agricultural production'!AS79/0.93226</f>
        <v>76.650678206940029</v>
      </c>
      <c r="M78" s="25">
        <f t="shared" si="17"/>
        <v>131.17131100832216</v>
      </c>
      <c r="N78" s="25">
        <f>+M78/(Population!O79/Population!X79)</f>
        <v>80.224661386580749</v>
      </c>
      <c r="O78" s="25"/>
      <c r="P78" s="24">
        <f t="shared" si="18"/>
        <v>0.62818991780397127</v>
      </c>
      <c r="Q78" s="24">
        <f t="shared" si="19"/>
        <v>0.16009739139715456</v>
      </c>
      <c r="R78" s="24">
        <f t="shared" si="20"/>
        <v>0.21171269079887423</v>
      </c>
      <c r="S78" s="25"/>
      <c r="T78" s="25">
        <f>((1000*E78)-J78*(Population!W79+Population!R79))/Population!T79</f>
        <v>219.25301741276164</v>
      </c>
      <c r="U78" s="25">
        <f t="shared" si="21"/>
        <v>286.04184925908487</v>
      </c>
      <c r="W78" s="24">
        <v>0.95683649209321087</v>
      </c>
      <c r="X78" s="47">
        <v>232.05836771245444</v>
      </c>
      <c r="Y78" s="48">
        <v>2762.6598968903254</v>
      </c>
      <c r="Z78" s="25">
        <f t="shared" si="22"/>
        <v>1384.6991635138093</v>
      </c>
      <c r="AA78" s="25">
        <f t="shared" si="23"/>
        <v>3019.5772715412481</v>
      </c>
      <c r="AB78" s="25">
        <f t="shared" si="24"/>
        <v>846.88504415518912</v>
      </c>
      <c r="AC78" s="49">
        <v>1831.3488270952016</v>
      </c>
      <c r="AD78" s="41">
        <f>+resteconomy!AD78+resteconomy!V78/1000</f>
        <v>742.257120667962</v>
      </c>
      <c r="AE78" s="24">
        <f t="shared" si="25"/>
        <v>0.24891742380043463</v>
      </c>
      <c r="AF78" s="24">
        <f>+resteconomy!AD78/E78</f>
        <v>0.20570762227898398</v>
      </c>
      <c r="AG78" s="24">
        <f t="shared" si="26"/>
        <v>4.3209801521450653E-2</v>
      </c>
    </row>
    <row r="79" spans="1:33" x14ac:dyDescent="0.2">
      <c r="A79">
        <f t="shared" si="27"/>
        <v>1777</v>
      </c>
      <c r="B79" s="25">
        <f>+'Agricultural production'!AJ80</f>
        <v>1499.6303830129689</v>
      </c>
      <c r="C79" s="25">
        <f>+'incomeVOC and total income'!U79</f>
        <v>446.45248842553815</v>
      </c>
      <c r="D79" s="25">
        <f>+resteconomy!Q79/1000</f>
        <v>557.51195021416993</v>
      </c>
      <c r="E79" s="25">
        <f t="shared" si="14"/>
        <v>2503.5948216526767</v>
      </c>
      <c r="F79" s="25"/>
      <c r="G79" s="25">
        <f t="shared" si="15"/>
        <v>639.07269442578411</v>
      </c>
      <c r="H79" s="25">
        <f>+Population!X80/38.04</f>
        <v>790.53092559356742</v>
      </c>
      <c r="I79" s="25">
        <f>1000*E79/Population!X80</f>
        <v>83.253916312600552</v>
      </c>
      <c r="J79" s="41">
        <f>+'incomeVOC and total income'!G79/9.61</f>
        <v>17.816054503774858</v>
      </c>
      <c r="K79" s="25">
        <f t="shared" si="16"/>
        <v>79.843175610865458</v>
      </c>
      <c r="L79" s="25">
        <f>+(J79*100/22.31381)*0.53+0.47*'Agricultural production'!AS80/0.93226</f>
        <v>76.814570502527104</v>
      </c>
      <c r="M79" s="25">
        <f t="shared" si="17"/>
        <v>108.38297443824359</v>
      </c>
      <c r="N79" s="25">
        <f>+M79/(Population!O80/Population!X80)</f>
        <v>66.98897093545294</v>
      </c>
      <c r="O79" s="25"/>
      <c r="P79" s="24">
        <f t="shared" si="18"/>
        <v>0.59899084709842576</v>
      </c>
      <c r="Q79" s="24">
        <f t="shared" si="19"/>
        <v>0.17832457734947113</v>
      </c>
      <c r="R79" s="24">
        <f t="shared" si="20"/>
        <v>0.22268457555210325</v>
      </c>
      <c r="S79" s="25"/>
      <c r="T79" s="25">
        <f>((1000*E79)-J79*(Population!W80+Population!R80))/Population!T80</f>
        <v>174.58699088519734</v>
      </c>
      <c r="U79" s="25">
        <f t="shared" si="21"/>
        <v>227.28369076730519</v>
      </c>
      <c r="W79" s="24">
        <v>1.0223519635025193</v>
      </c>
      <c r="X79" s="47">
        <v>237.52336704507698</v>
      </c>
      <c r="Y79" s="48">
        <v>2854.210817219338</v>
      </c>
      <c r="Z79" s="25">
        <f t="shared" si="22"/>
        <v>1144.1359615156457</v>
      </c>
      <c r="AA79" s="25">
        <f t="shared" si="23"/>
        <v>2399.3016008344339</v>
      </c>
      <c r="AB79" s="25">
        <f t="shared" si="24"/>
        <v>707.16356576696444</v>
      </c>
      <c r="AC79" s="49">
        <v>1854.8917817712081</v>
      </c>
      <c r="AD79" s="41">
        <f>+resteconomy!AD79+resteconomy!V79/1000</f>
        <v>398.84584216948781</v>
      </c>
      <c r="AE79" s="24">
        <f t="shared" si="25"/>
        <v>0.15930926151468916</v>
      </c>
      <c r="AF79" s="24">
        <f>+resteconomy!AD79/E79</f>
        <v>0.12967131304269236</v>
      </c>
      <c r="AG79" s="24">
        <f t="shared" si="26"/>
        <v>2.96379484719968E-2</v>
      </c>
    </row>
    <row r="80" spans="1:33" x14ac:dyDescent="0.2">
      <c r="A80">
        <f t="shared" si="27"/>
        <v>1778</v>
      </c>
      <c r="B80" s="25">
        <f>+'Agricultural production'!AJ81</f>
        <v>1322.6714938335645</v>
      </c>
      <c r="C80" s="25">
        <f>+'incomeVOC and total income'!U80</f>
        <v>377.32144788772598</v>
      </c>
      <c r="D80" s="25">
        <f>+resteconomy!Q80/1000</f>
        <v>665.38928241580118</v>
      </c>
      <c r="E80" s="25">
        <f t="shared" si="14"/>
        <v>2365.3822241370917</v>
      </c>
      <c r="F80" s="25"/>
      <c r="G80" s="25">
        <f t="shared" si="15"/>
        <v>604.02177808657939</v>
      </c>
      <c r="H80" s="25">
        <f>+Population!X81/38.04</f>
        <v>816.6480105807434</v>
      </c>
      <c r="I80" s="25">
        <f>1000*E80/Population!X81</f>
        <v>76.142286120034711</v>
      </c>
      <c r="J80" s="41">
        <f>+'incomeVOC and total income'!G80/9.61</f>
        <v>17.701760906819022</v>
      </c>
      <c r="K80" s="25">
        <f t="shared" si="16"/>
        <v>79.330965473036755</v>
      </c>
      <c r="L80" s="25">
        <f>+(J80*100/22.31381)*0.53+0.47*'Agricultural production'!AS81/0.93226</f>
        <v>76.785383065911887</v>
      </c>
      <c r="M80" s="25">
        <f t="shared" si="17"/>
        <v>99.162474783351485</v>
      </c>
      <c r="N80" s="25">
        <f>+M80/(Population!O81/Population!X81)</f>
        <v>61.124380393370366</v>
      </c>
      <c r="O80" s="25"/>
      <c r="P80" s="24">
        <f t="shared" si="18"/>
        <v>0.55917875780777226</v>
      </c>
      <c r="Q80" s="24">
        <f t="shared" si="19"/>
        <v>0.15951817175144939</v>
      </c>
      <c r="R80" s="24">
        <f t="shared" si="20"/>
        <v>0.28130307044077829</v>
      </c>
      <c r="S80" s="25"/>
      <c r="T80" s="25">
        <f>((1000*E80)-J80*(Population!W81+Population!R81))/Population!T81</f>
        <v>163.9314907008438</v>
      </c>
      <c r="U80" s="25">
        <f t="shared" si="21"/>
        <v>213.49309485130323</v>
      </c>
      <c r="W80" s="24">
        <v>0.9157503872095959</v>
      </c>
      <c r="X80" s="47">
        <v>235.45180666789003</v>
      </c>
      <c r="Y80" s="48">
        <v>2803.7370363279174</v>
      </c>
      <c r="Z80" s="25">
        <f t="shared" si="22"/>
        <v>1046.8005147539798</v>
      </c>
      <c r="AA80" s="25">
        <f t="shared" si="23"/>
        <v>2253.7223085146879</v>
      </c>
      <c r="AB80" s="25">
        <f t="shared" si="24"/>
        <v>645.25449772801244</v>
      </c>
      <c r="AC80" s="49">
        <v>1844.4965028244014</v>
      </c>
      <c r="AD80" s="41">
        <f>+resteconomy!AD80+resteconomy!V80/1000</f>
        <v>174.92786544179742</v>
      </c>
      <c r="AE80" s="24">
        <f t="shared" si="25"/>
        <v>7.3953318688531347E-2</v>
      </c>
      <c r="AF80" s="24">
        <f>+resteconomy!AD80/E80</f>
        <v>2.4305229447647011E-2</v>
      </c>
      <c r="AG80" s="24">
        <f t="shared" si="26"/>
        <v>4.9648089240884333E-2</v>
      </c>
    </row>
    <row r="81" spans="1:33" x14ac:dyDescent="0.2">
      <c r="A81">
        <f t="shared" si="27"/>
        <v>1779</v>
      </c>
      <c r="B81" s="25">
        <f>+'Agricultural production'!AJ82</f>
        <v>1178.801065603476</v>
      </c>
      <c r="C81" s="25">
        <f>+'incomeVOC and total income'!U81</f>
        <v>438.01244355207928</v>
      </c>
      <c r="D81" s="25">
        <f>+resteconomy!Q81/1000</f>
        <v>666.00264169693855</v>
      </c>
      <c r="E81" s="25">
        <f t="shared" si="14"/>
        <v>2282.8161508524936</v>
      </c>
      <c r="F81" s="25"/>
      <c r="G81" s="25">
        <f t="shared" si="15"/>
        <v>598.626357004022</v>
      </c>
      <c r="H81" s="25">
        <f>+Population!X82/38.04</f>
        <v>830.32839299600369</v>
      </c>
      <c r="I81" s="25">
        <f>1000*E81/Population!X82</f>
        <v>72.273741725353219</v>
      </c>
      <c r="J81" s="41">
        <f>+'incomeVOC and total income'!G81/9.61</f>
        <v>17.644487468301097</v>
      </c>
      <c r="K81" s="25">
        <f t="shared" si="16"/>
        <v>79.074292863034586</v>
      </c>
      <c r="L81" s="25">
        <f>+(J81*100/22.31381)*0.53+0.47*'Agricultural production'!AS82/0.93226</f>
        <v>74.773020722184782</v>
      </c>
      <c r="M81" s="25">
        <f t="shared" si="17"/>
        <v>96.657512331730587</v>
      </c>
      <c r="N81" s="25">
        <f>+M81/(Population!O82/Population!X82)</f>
        <v>60.131437815857751</v>
      </c>
      <c r="O81" s="25"/>
      <c r="P81" s="24">
        <f t="shared" si="18"/>
        <v>0.51638020221789005</v>
      </c>
      <c r="Q81" s="24">
        <f t="shared" si="19"/>
        <v>0.19187372727694613</v>
      </c>
      <c r="R81" s="24">
        <f t="shared" si="20"/>
        <v>0.29174607050516393</v>
      </c>
      <c r="S81" s="25"/>
      <c r="T81" s="25">
        <f>((1000*E81)-J81*(Population!W82+Population!R82))/Population!T82</f>
        <v>150.88786714854859</v>
      </c>
      <c r="U81" s="25">
        <f t="shared" si="21"/>
        <v>201.7945318929464</v>
      </c>
      <c r="W81" s="24">
        <v>1.007222056967247</v>
      </c>
      <c r="X81" s="47">
        <v>219.29753950901758</v>
      </c>
      <c r="Y81" s="48">
        <v>2652.2673305961307</v>
      </c>
      <c r="Z81" s="25">
        <f t="shared" si="22"/>
        <v>1020.357084519659</v>
      </c>
      <c r="AA81" s="25">
        <f t="shared" si="23"/>
        <v>2130.2273901653348</v>
      </c>
      <c r="AB81" s="25">
        <f t="shared" si="24"/>
        <v>634.77258101977952</v>
      </c>
      <c r="AC81" s="49">
        <v>1837.4342934510867</v>
      </c>
      <c r="AD81" s="41">
        <f>+resteconomy!AD81+resteconomy!V81/1000</f>
        <v>-12.697459209836296</v>
      </c>
      <c r="AE81" s="24">
        <f t="shared" si="25"/>
        <v>-5.5621908952652906E-3</v>
      </c>
      <c r="AF81" s="24">
        <f>+resteconomy!AD81/E81</f>
        <v>-5.2178574722267661E-2</v>
      </c>
      <c r="AG81" s="24">
        <f t="shared" si="26"/>
        <v>4.6616383827002367E-2</v>
      </c>
    </row>
    <row r="82" spans="1:33" x14ac:dyDescent="0.2">
      <c r="A82">
        <f t="shared" si="27"/>
        <v>1780</v>
      </c>
      <c r="B82" s="25">
        <f>+'Agricultural production'!AJ83</f>
        <v>1307.8033225416104</v>
      </c>
      <c r="C82" s="25">
        <f>+'incomeVOC and total income'!U82</f>
        <v>445.41834536188446</v>
      </c>
      <c r="D82" s="25">
        <f>+resteconomy!Q82/1000</f>
        <v>653.81590799981893</v>
      </c>
      <c r="E82" s="25">
        <f t="shared" si="14"/>
        <v>2407.0375759033141</v>
      </c>
      <c r="F82" s="25"/>
      <c r="G82" s="25">
        <f t="shared" si="15"/>
        <v>623.6389575090443</v>
      </c>
      <c r="H82" s="25">
        <f>+Population!X83/38.04</f>
        <v>850.13397300621682</v>
      </c>
      <c r="I82" s="25">
        <f>1000*E82/Population!X83</f>
        <v>74.431194709526778</v>
      </c>
      <c r="J82" s="41">
        <f>+'incomeVOC and total income'!G82/9.61</f>
        <v>17.529950816081538</v>
      </c>
      <c r="K82" s="25">
        <f t="shared" si="16"/>
        <v>78.560993465847105</v>
      </c>
      <c r="L82" s="25">
        <f>+(J82*100/22.31381)*0.53+0.47*'Agricultural production'!AS83/0.93226</f>
        <v>75.679709622864607</v>
      </c>
      <c r="M82" s="25">
        <f t="shared" si="17"/>
        <v>98.350264662008399</v>
      </c>
      <c r="N82" s="25">
        <f>+M82/(Population!O83/Population!X83)</f>
        <v>61.246466843634231</v>
      </c>
      <c r="O82" s="25"/>
      <c r="P82" s="24">
        <f t="shared" si="18"/>
        <v>0.54332484695458794</v>
      </c>
      <c r="Q82" s="24">
        <f t="shared" si="19"/>
        <v>0.18504835563056288</v>
      </c>
      <c r="R82" s="24">
        <f t="shared" si="20"/>
        <v>0.27162679741484907</v>
      </c>
      <c r="S82" s="25"/>
      <c r="T82" s="25">
        <f>((1000*E82)-J82*(Population!W83+Population!R83))/Population!T83</f>
        <v>158.72818993756451</v>
      </c>
      <c r="U82" s="25">
        <f t="shared" si="21"/>
        <v>209.73678510205201</v>
      </c>
      <c r="W82" s="24">
        <v>1.0193719692331891</v>
      </c>
      <c r="X82" s="47">
        <v>239.51246057857239</v>
      </c>
      <c r="Y82" s="48">
        <v>2838.4369143828335</v>
      </c>
      <c r="Z82" s="25">
        <f t="shared" si="22"/>
        <v>1038.2264853646582</v>
      </c>
      <c r="AA82" s="25">
        <f t="shared" si="23"/>
        <v>2214.0691333828408</v>
      </c>
      <c r="AB82" s="25">
        <f t="shared" si="24"/>
        <v>646.54329330577445</v>
      </c>
      <c r="AC82" s="49">
        <v>1910.6648945441718</v>
      </c>
      <c r="AD82" s="41">
        <f>+resteconomy!AD82+resteconomy!V82/1000</f>
        <v>88.65700348128793</v>
      </c>
      <c r="AE82" s="24">
        <f t="shared" si="25"/>
        <v>3.68324135729442E-2</v>
      </c>
      <c r="AF82" s="24">
        <f>+resteconomy!AD82/E82</f>
        <v>5.8204524654267556E-3</v>
      </c>
      <c r="AG82" s="24">
        <f t="shared" si="26"/>
        <v>3.1011961107517444E-2</v>
      </c>
    </row>
    <row r="83" spans="1:33" x14ac:dyDescent="0.2">
      <c r="A83">
        <f t="shared" si="27"/>
        <v>1781</v>
      </c>
      <c r="B83" s="25">
        <f>+'Agricultural production'!AJ84</f>
        <v>725.31933671647062</v>
      </c>
      <c r="C83" s="25">
        <f>+'incomeVOC and total income'!U83</f>
        <v>444.01829382432464</v>
      </c>
      <c r="D83" s="25">
        <f>+resteconomy!Q83/1000</f>
        <v>625.73907614536574</v>
      </c>
      <c r="E83" s="25">
        <f t="shared" si="14"/>
        <v>1795.0767066861611</v>
      </c>
      <c r="F83" s="25"/>
      <c r="G83" s="25">
        <f t="shared" si="15"/>
        <v>467.17742085472668</v>
      </c>
      <c r="H83" s="25">
        <f>+Population!X84/38.04</f>
        <v>844.77577648481031</v>
      </c>
      <c r="I83" s="25">
        <f>1000*E83/Population!X84</f>
        <v>55.860015386906603</v>
      </c>
      <c r="J83" s="41">
        <f>+'incomeVOC and total income'!G83/9.61</f>
        <v>17.614301131954715</v>
      </c>
      <c r="K83" s="25">
        <f t="shared" si="16"/>
        <v>78.939011903187819</v>
      </c>
      <c r="L83" s="25">
        <f>+(J83*100/22.31381)*0.53+0.47*'Agricultural production'!AS84/0.93226</f>
        <v>75.340932401327251</v>
      </c>
      <c r="M83" s="25">
        <f t="shared" si="17"/>
        <v>74.142983908601778</v>
      </c>
      <c r="N83" s="25">
        <f>+M83/(Population!O84/Population!X84)</f>
        <v>46.740308405516267</v>
      </c>
      <c r="O83" s="25"/>
      <c r="P83" s="24">
        <f t="shared" si="18"/>
        <v>0.40406035798629553</v>
      </c>
      <c r="Q83" s="24">
        <f t="shared" si="19"/>
        <v>0.24735338170813542</v>
      </c>
      <c r="R83" s="24">
        <f t="shared" si="20"/>
        <v>0.34858626030556905</v>
      </c>
      <c r="S83" s="25"/>
      <c r="T83" s="25">
        <f>((1000*E83)-J83*(Population!W84+Population!R84))/Population!T84</f>
        <v>110.08872520742644</v>
      </c>
      <c r="U83" s="25">
        <f t="shared" si="21"/>
        <v>146.12073636281019</v>
      </c>
      <c r="W83" s="24">
        <v>1.002554624162316</v>
      </c>
      <c r="X83" s="47">
        <v>228.82006058198203</v>
      </c>
      <c r="Y83" s="48">
        <v>2561.5552097751233</v>
      </c>
      <c r="Z83" s="25">
        <f t="shared" si="22"/>
        <v>782.68431572011264</v>
      </c>
      <c r="AA83" s="25">
        <f t="shared" si="23"/>
        <v>1542.511543555192</v>
      </c>
      <c r="AB83" s="25">
        <f t="shared" si="24"/>
        <v>493.41022403435164</v>
      </c>
      <c r="AC83" s="49">
        <v>1907.3691573453298</v>
      </c>
      <c r="AD83" s="41">
        <f>+resteconomy!AD83+resteconomy!V83/1000</f>
        <v>-112.48450774305964</v>
      </c>
      <c r="AE83" s="24">
        <f t="shared" si="25"/>
        <v>-6.2662786121666092E-2</v>
      </c>
      <c r="AF83" s="24">
        <f>+resteconomy!AD83/E83</f>
        <v>-0.11579204192211624</v>
      </c>
      <c r="AG83" s="24">
        <f t="shared" si="26"/>
        <v>5.3129255800450151E-2</v>
      </c>
    </row>
    <row r="84" spans="1:33" x14ac:dyDescent="0.2">
      <c r="A84">
        <f t="shared" si="27"/>
        <v>1782</v>
      </c>
      <c r="B84" s="25">
        <f>+'Agricultural production'!AJ85</f>
        <v>1073.7487127543529</v>
      </c>
      <c r="C84" s="25">
        <f>+'incomeVOC and total income'!U84</f>
        <v>496.99186883572827</v>
      </c>
      <c r="D84" s="25">
        <f>+resteconomy!Q84/1000</f>
        <v>629.7660999185797</v>
      </c>
      <c r="E84" s="25">
        <f t="shared" si="14"/>
        <v>2200.5066815086611</v>
      </c>
      <c r="F84" s="25"/>
      <c r="G84" s="25">
        <f t="shared" si="15"/>
        <v>574.54538235773873</v>
      </c>
      <c r="H84" s="25">
        <f>+Population!X85/38.04</f>
        <v>871.67025758193802</v>
      </c>
      <c r="I84" s="25">
        <f>1000*E84/Population!X85</f>
        <v>66.363602859792437</v>
      </c>
      <c r="J84" s="41">
        <f>+'incomeVOC and total income'!G84/9.61</f>
        <v>17.704653307400655</v>
      </c>
      <c r="K84" s="25">
        <f t="shared" si="16"/>
        <v>79.343927851857899</v>
      </c>
      <c r="L84" s="25">
        <f>+(J84*100/22.31381)*0.53+0.47*'Agricultural production'!AS85/0.93226</f>
        <v>75.097966424239246</v>
      </c>
      <c r="M84" s="25">
        <f t="shared" si="17"/>
        <v>88.369374058539577</v>
      </c>
      <c r="N84" s="25">
        <f>+M84/(Population!O85/Population!X85)</f>
        <v>54.829682761451352</v>
      </c>
      <c r="O84" s="25"/>
      <c r="P84" s="24">
        <f t="shared" si="18"/>
        <v>0.48795521584973961</v>
      </c>
      <c r="Q84" s="24">
        <f t="shared" si="19"/>
        <v>0.22585337868412744</v>
      </c>
      <c r="R84" s="24">
        <f t="shared" si="20"/>
        <v>0.28619140546613286</v>
      </c>
      <c r="S84" s="25"/>
      <c r="T84" s="25">
        <f>((1000*E84)-J84*(Population!W85+Population!R85))/Population!T85</f>
        <v>136.21154013495919</v>
      </c>
      <c r="U84" s="25">
        <f t="shared" si="21"/>
        <v>181.37846684886318</v>
      </c>
      <c r="W84" s="24">
        <v>0.71929877433310774</v>
      </c>
      <c r="X84" s="47">
        <v>240.98093161851415</v>
      </c>
      <c r="Y84" s="48">
        <v>2704.0371933942665</v>
      </c>
      <c r="Z84" s="25">
        <f t="shared" si="22"/>
        <v>932.86403405189139</v>
      </c>
      <c r="AA84" s="25">
        <f t="shared" si="23"/>
        <v>1914.7068775511709</v>
      </c>
      <c r="AB84" s="25">
        <f t="shared" si="24"/>
        <v>578.80503954627943</v>
      </c>
      <c r="AC84" s="49">
        <v>1902.2905456258127</v>
      </c>
      <c r="AD84" s="41">
        <f>+resteconomy!AD84+resteconomy!V84/1000</f>
        <v>194.15709416616633</v>
      </c>
      <c r="AE84" s="24">
        <f t="shared" si="25"/>
        <v>8.8232903720634373E-2</v>
      </c>
      <c r="AF84" s="24">
        <f>+resteconomy!AD84/E84</f>
        <v>2.6851089325071492E-2</v>
      </c>
      <c r="AG84" s="24">
        <f t="shared" si="26"/>
        <v>6.1381814395562881E-2</v>
      </c>
    </row>
    <row r="85" spans="1:33" x14ac:dyDescent="0.2">
      <c r="A85">
        <f t="shared" si="27"/>
        <v>1783</v>
      </c>
      <c r="B85" s="25">
        <f>+'Agricultural production'!AJ86</f>
        <v>1338.306506626953</v>
      </c>
      <c r="C85" s="25">
        <f>+'incomeVOC and total income'!U85</f>
        <v>502.59924119475727</v>
      </c>
      <c r="D85" s="25">
        <f>+resteconomy!Q85/1000</f>
        <v>675.62376645558084</v>
      </c>
      <c r="E85" s="25">
        <f t="shared" si="14"/>
        <v>2516.5295142772911</v>
      </c>
      <c r="F85" s="25"/>
      <c r="G85" s="25">
        <f t="shared" si="15"/>
        <v>638.21991635311713</v>
      </c>
      <c r="H85" s="25">
        <f>+Population!X86/38.04</f>
        <v>914.91193509369225</v>
      </c>
      <c r="I85" s="25">
        <f>1000*E85/Population!X86</f>
        <v>72.307313641240683</v>
      </c>
      <c r="J85" s="41">
        <f>+'incomeVOC and total income'!G85/9.61</f>
        <v>17.795309862752184</v>
      </c>
      <c r="K85" s="25">
        <f t="shared" si="16"/>
        <v>79.750207888084475</v>
      </c>
      <c r="L85" s="25">
        <f>+(J85*100/22.31381)*0.53+0.47*'Agricultural production'!AS86/0.93226</f>
        <v>77.314597526474387</v>
      </c>
      <c r="M85" s="25">
        <f t="shared" si="17"/>
        <v>93.523494856816541</v>
      </c>
      <c r="N85" s="25">
        <f>+M85/(Population!O86/Population!X86)</f>
        <v>58.329817650843651</v>
      </c>
      <c r="O85" s="25"/>
      <c r="P85" s="24">
        <f t="shared" si="18"/>
        <v>0.53180640204464058</v>
      </c>
      <c r="Q85" s="24">
        <f t="shared" si="19"/>
        <v>0.19971919198376503</v>
      </c>
      <c r="R85" s="24">
        <f t="shared" si="20"/>
        <v>0.26847440597159444</v>
      </c>
      <c r="S85" s="25"/>
      <c r="T85" s="25">
        <f>((1000*E85)-J85*(Population!W86+Population!R86))/Population!T86</f>
        <v>154.27533400680909</v>
      </c>
      <c r="U85" s="25">
        <f t="shared" si="21"/>
        <v>199.54231017497244</v>
      </c>
      <c r="W85" s="24">
        <v>0.72121640139474086</v>
      </c>
      <c r="X85" s="47">
        <v>226.17579928602834</v>
      </c>
      <c r="Y85" s="48">
        <v>2615.3471491255191</v>
      </c>
      <c r="Z85" s="25">
        <f t="shared" si="22"/>
        <v>987.2730866348179</v>
      </c>
      <c r="AA85" s="25">
        <f t="shared" si="23"/>
        <v>2106.4519967126594</v>
      </c>
      <c r="AB85" s="25">
        <f t="shared" si="24"/>
        <v>615.75392582537972</v>
      </c>
      <c r="AC85" s="49">
        <v>1906.1336726884113</v>
      </c>
      <c r="AD85" s="41">
        <f>+resteconomy!AD85+resteconomy!V85/1000</f>
        <v>261.05480837422073</v>
      </c>
      <c r="AE85" s="24">
        <f t="shared" si="25"/>
        <v>0.10373604080268126</v>
      </c>
      <c r="AF85" s="24">
        <f>+resteconomy!AD85/E85</f>
        <v>5.6867366961012376E-2</v>
      </c>
      <c r="AG85" s="24">
        <f t="shared" si="26"/>
        <v>4.686867384166888E-2</v>
      </c>
    </row>
    <row r="86" spans="1:33" x14ac:dyDescent="0.2">
      <c r="A86">
        <f t="shared" si="27"/>
        <v>1784</v>
      </c>
      <c r="B86" s="25">
        <f>+'Agricultural production'!AJ87</f>
        <v>1581.4105284046993</v>
      </c>
      <c r="C86" s="25">
        <f>+'incomeVOC and total income'!U86</f>
        <v>663.20021430679196</v>
      </c>
      <c r="D86" s="25">
        <f>+resteconomy!Q86/1000</f>
        <v>596.42274705411523</v>
      </c>
      <c r="E86" s="25">
        <f t="shared" si="14"/>
        <v>2841.0334897656066</v>
      </c>
      <c r="F86" s="25"/>
      <c r="G86" s="25">
        <f t="shared" si="15"/>
        <v>744.71860066805687</v>
      </c>
      <c r="H86" s="25">
        <f>+Population!X87/38.04</f>
        <v>929.83622136857787</v>
      </c>
      <c r="I86" s="25">
        <f>1000*E86/Population!X87</f>
        <v>80.321051442508406</v>
      </c>
      <c r="J86" s="41">
        <f>+'incomeVOC and total income'!G86/9.61</f>
        <v>17.184092300317698</v>
      </c>
      <c r="K86" s="25">
        <f t="shared" si="16"/>
        <v>77.011018290097908</v>
      </c>
      <c r="L86" s="25">
        <f>+(J86*100/22.31381)*0.53+0.47*'Agricultural production'!AS87/0.93226</f>
        <v>74.802131926125938</v>
      </c>
      <c r="M86" s="25">
        <f t="shared" si="17"/>
        <v>107.37802436143519</v>
      </c>
      <c r="N86" s="25">
        <f>+M86/(Population!O87/Population!X87)</f>
        <v>67.237839426937271</v>
      </c>
      <c r="O86" s="25"/>
      <c r="P86" s="24">
        <f t="shared" si="18"/>
        <v>0.55663213196940187</v>
      </c>
      <c r="Q86" s="24">
        <f t="shared" si="19"/>
        <v>0.23343625363652712</v>
      </c>
      <c r="R86" s="24">
        <f t="shared" si="20"/>
        <v>0.20993161439407101</v>
      </c>
      <c r="S86" s="25"/>
      <c r="T86" s="25">
        <f>((1000*E86)-J86*(Population!W87+Population!R87))/Population!T87</f>
        <v>174.05558742543693</v>
      </c>
      <c r="U86" s="25">
        <f t="shared" si="21"/>
        <v>232.68800359504863</v>
      </c>
      <c r="W86" s="24">
        <v>0.78238168236765215</v>
      </c>
      <c r="X86" s="47">
        <v>223.69655982465332</v>
      </c>
      <c r="Y86" s="48">
        <v>2626.5834163538029</v>
      </c>
      <c r="Z86" s="25">
        <f t="shared" si="22"/>
        <v>1133.5272886280093</v>
      </c>
      <c r="AA86" s="25">
        <f t="shared" si="23"/>
        <v>2456.351785012806</v>
      </c>
      <c r="AB86" s="25">
        <f t="shared" si="24"/>
        <v>709.79072554248444</v>
      </c>
      <c r="AC86" s="49">
        <v>1899.6479567596293</v>
      </c>
      <c r="AD86" s="41">
        <f>+resteconomy!AD86+resteconomy!V86/1000</f>
        <v>383.87472867585166</v>
      </c>
      <c r="AE86" s="24">
        <f t="shared" si="25"/>
        <v>0.13511798789373736</v>
      </c>
      <c r="AF86" s="24">
        <f>+resteconomy!AD86/E86</f>
        <v>0.13261419916394512</v>
      </c>
      <c r="AG86" s="24">
        <f t="shared" si="26"/>
        <v>2.5037887297922334E-3</v>
      </c>
    </row>
    <row r="87" spans="1:33" x14ac:dyDescent="0.2">
      <c r="A87">
        <f t="shared" si="27"/>
        <v>1785</v>
      </c>
      <c r="B87" s="25">
        <f>+'Agricultural production'!AJ88</f>
        <v>1581.5563884803476</v>
      </c>
      <c r="C87" s="25">
        <f>+'incomeVOC and total income'!U87</f>
        <v>761.10741726468461</v>
      </c>
      <c r="D87" s="25">
        <f>+resteconomy!Q87/1000</f>
        <v>667.9966897466079</v>
      </c>
      <c r="E87" s="25">
        <f t="shared" si="14"/>
        <v>3010.6604954916402</v>
      </c>
      <c r="F87" s="25"/>
      <c r="G87" s="25">
        <f t="shared" si="15"/>
        <v>810.19272626601673</v>
      </c>
      <c r="H87" s="25">
        <f>+Population!X88/38.04</f>
        <v>940.94310390907276</v>
      </c>
      <c r="I87" s="25">
        <f>1000*E87/Population!X88</f>
        <v>84.111990772323992</v>
      </c>
      <c r="J87" s="41">
        <f>+'incomeVOC and total income'!G87/9.61</f>
        <v>16.314045928553263</v>
      </c>
      <c r="K87" s="25">
        <f t="shared" si="16"/>
        <v>73.111879721810226</v>
      </c>
      <c r="L87" s="25">
        <f>+(J87*100/22.31381)*0.53+0.47*'Agricultural production'!AS88/0.93226</f>
        <v>72.862365732653586</v>
      </c>
      <c r="M87" s="25">
        <f t="shared" si="17"/>
        <v>115.43955501108418</v>
      </c>
      <c r="N87" s="25">
        <f>+M87/(Population!O88/Population!X88)</f>
        <v>71.422690895649126</v>
      </c>
      <c r="O87" s="25"/>
      <c r="P87" s="24">
        <f t="shared" si="18"/>
        <v>0.52531874346133467</v>
      </c>
      <c r="Q87" s="24">
        <f t="shared" si="19"/>
        <v>0.2528041333137418</v>
      </c>
      <c r="R87" s="24">
        <f t="shared" si="20"/>
        <v>0.22187712322492351</v>
      </c>
      <c r="S87" s="25"/>
      <c r="T87" s="25">
        <f>((1000*E87)-J87*(Population!W88+Population!R88))/Population!T88</f>
        <v>191.5293867722927</v>
      </c>
      <c r="U87" s="25">
        <f t="shared" si="21"/>
        <v>262.86462818823622</v>
      </c>
      <c r="W87" s="24">
        <v>0.72084555988687793</v>
      </c>
      <c r="X87" s="47">
        <v>226.26957989707074</v>
      </c>
      <c r="Y87" s="48">
        <v>2599.2576841863611</v>
      </c>
      <c r="Z87" s="25">
        <f t="shared" si="22"/>
        <v>1218.6281743430391</v>
      </c>
      <c r="AA87" s="25">
        <f t="shared" si="23"/>
        <v>2774.9088422736431</v>
      </c>
      <c r="AB87" s="25">
        <f t="shared" si="24"/>
        <v>753.9677661134001</v>
      </c>
      <c r="AC87" s="49">
        <v>1907.4575627893489</v>
      </c>
      <c r="AD87" s="41">
        <f>+resteconomy!AD87+resteconomy!V87/1000</f>
        <v>398.53586104575538</v>
      </c>
      <c r="AE87" s="24">
        <f t="shared" si="25"/>
        <v>0.13237489303179453</v>
      </c>
      <c r="AF87" s="24">
        <f>+resteconomy!AD87/E87</f>
        <v>0.11221283260130434</v>
      </c>
      <c r="AG87" s="24">
        <f t="shared" si="26"/>
        <v>2.0162060430490195E-2</v>
      </c>
    </row>
    <row r="88" spans="1:33" x14ac:dyDescent="0.2">
      <c r="A88">
        <f t="shared" si="27"/>
        <v>1786</v>
      </c>
      <c r="B88" s="25">
        <f>+'Agricultural production'!AJ89</f>
        <v>1724.7861929133503</v>
      </c>
      <c r="C88" s="25">
        <f>+'incomeVOC and total income'!U88</f>
        <v>558.35672575139131</v>
      </c>
      <c r="D88" s="25">
        <f>+resteconomy!Q88/1000</f>
        <v>801.09899130227791</v>
      </c>
      <c r="E88" s="25">
        <f t="shared" si="14"/>
        <v>3084.2419099670196</v>
      </c>
      <c r="F88" s="25"/>
      <c r="G88" s="25">
        <f t="shared" si="15"/>
        <v>699.36413394789531</v>
      </c>
      <c r="H88" s="25">
        <f>+Population!X89/38.04</f>
        <v>1035.8609583127025</v>
      </c>
      <c r="I88" s="25">
        <f>1000*E88/Population!X89</f>
        <v>78.272005438662745</v>
      </c>
      <c r="J88" s="41">
        <f>+'incomeVOC and total income'!G88/9.61</f>
        <v>19.156763636300184</v>
      </c>
      <c r="K88" s="25">
        <f t="shared" si="16"/>
        <v>85.85160327304115</v>
      </c>
      <c r="L88" s="25">
        <f>+(J88*100/22.31381)*0.53+0.47*'Agricultural production'!AS89/0.93226</f>
        <v>86.471880144323165</v>
      </c>
      <c r="M88" s="25">
        <f t="shared" si="17"/>
        <v>90.517293376789453</v>
      </c>
      <c r="N88" s="25">
        <f>+M88/(Population!O89/Population!X89)</f>
        <v>57.33276443270374</v>
      </c>
      <c r="O88" s="25"/>
      <c r="P88" s="24">
        <f t="shared" si="18"/>
        <v>0.55922532773435851</v>
      </c>
      <c r="Q88" s="24">
        <f t="shared" si="19"/>
        <v>0.18103532149894233</v>
      </c>
      <c r="R88" s="24">
        <f t="shared" si="20"/>
        <v>0.25973935076669918</v>
      </c>
      <c r="S88" s="25"/>
      <c r="T88" s="25">
        <f>((1000*E88)-J88*(Population!W89+Population!R89))/Population!T89</f>
        <v>171.26183752394419</v>
      </c>
      <c r="U88" s="25">
        <f t="shared" si="21"/>
        <v>198.05494831164191</v>
      </c>
      <c r="W88" s="24">
        <v>0.82549065972494329</v>
      </c>
      <c r="X88" s="47">
        <v>202.77213534565993</v>
      </c>
      <c r="Y88" s="48">
        <v>2349.1697761368864</v>
      </c>
      <c r="Z88" s="25">
        <f t="shared" si="22"/>
        <v>955.53836779463381</v>
      </c>
      <c r="AA88" s="25">
        <f t="shared" si="23"/>
        <v>2090.7507834506719</v>
      </c>
      <c r="AB88" s="25">
        <f t="shared" si="24"/>
        <v>605.22861547722391</v>
      </c>
      <c r="AC88" s="49">
        <v>1923.9355999612962</v>
      </c>
      <c r="AD88" s="41">
        <f>+resteconomy!AD88+resteconomy!V88/1000</f>
        <v>472.68863360529997</v>
      </c>
      <c r="AE88" s="24">
        <f t="shared" si="25"/>
        <v>0.15325926026676503</v>
      </c>
      <c r="AF88" s="24">
        <f>+resteconomy!AD88/E88</f>
        <v>0.1181856916293596</v>
      </c>
      <c r="AG88" s="24">
        <f t="shared" si="26"/>
        <v>3.5073568637405433E-2</v>
      </c>
    </row>
    <row r="89" spans="1:33" x14ac:dyDescent="0.2">
      <c r="A89">
        <f t="shared" si="27"/>
        <v>1787</v>
      </c>
      <c r="B89" s="25">
        <f>+'Agricultural production'!AJ90</f>
        <v>2147.971981452411</v>
      </c>
      <c r="C89" s="25">
        <f>+'incomeVOC and total income'!U89</f>
        <v>1152.7072412357736</v>
      </c>
      <c r="D89" s="25">
        <f>+resteconomy!Q89/1000</f>
        <v>817.79698848741941</v>
      </c>
      <c r="E89" s="25">
        <f t="shared" si="14"/>
        <v>4118.4762111756045</v>
      </c>
      <c r="F89" s="25"/>
      <c r="G89" s="25">
        <f t="shared" si="15"/>
        <v>1019.1934318528565</v>
      </c>
      <c r="H89" s="25">
        <f>+Population!X90/38.04</f>
        <v>1083.7002080392012</v>
      </c>
      <c r="I89" s="25">
        <f>1000*E89/Population!X90</f>
        <v>99.904924694424963</v>
      </c>
      <c r="J89" s="73">
        <v>17.5</v>
      </c>
      <c r="K89" s="25">
        <f t="shared" si="16"/>
        <v>78.42676799703861</v>
      </c>
      <c r="L89" s="25">
        <f>+(J89*100/22.31381)*0.53+0.47*'Agricultural production'!AS90/0.93226</f>
        <v>79.233669477675619</v>
      </c>
      <c r="M89" s="25">
        <f t="shared" si="17"/>
        <v>126.08897878013028</v>
      </c>
      <c r="N89" s="25">
        <f>+M89/(Population!O90/Population!X90)</f>
        <v>80.027015221261522</v>
      </c>
      <c r="O89" s="25"/>
      <c r="P89" s="24">
        <f t="shared" si="18"/>
        <v>0.521545317082038</v>
      </c>
      <c r="Q89" s="24">
        <f t="shared" si="19"/>
        <v>0.27988682758634592</v>
      </c>
      <c r="R89" s="24">
        <f t="shared" si="20"/>
        <v>0.198567855331616</v>
      </c>
      <c r="S89" s="25"/>
      <c r="T89" s="25">
        <f>((1000*E89)-J89*(Population!W90+Population!R90))/Population!T90</f>
        <v>204.54570187751668</v>
      </c>
      <c r="U89" s="25">
        <f t="shared" si="21"/>
        <v>258.15502831804122</v>
      </c>
      <c r="W89" s="24">
        <v>1.7264543778011701</v>
      </c>
      <c r="X89" s="47">
        <v>217.68986387085343</v>
      </c>
      <c r="Y89" s="48">
        <v>2463.400900213222</v>
      </c>
      <c r="Z89" s="25">
        <f t="shared" si="22"/>
        <v>1331.0479410705873</v>
      </c>
      <c r="AA89" s="25">
        <f t="shared" si="23"/>
        <v>2725.1923383322433</v>
      </c>
      <c r="AB89" s="25">
        <f t="shared" si="24"/>
        <v>844.79860865579963</v>
      </c>
      <c r="AC89" s="49">
        <v>1896.6322719249949</v>
      </c>
      <c r="AD89" s="41">
        <f>+resteconomy!AD89+resteconomy!V89/1000</f>
        <v>443.05029666101467</v>
      </c>
      <c r="AE89" s="24">
        <f t="shared" si="25"/>
        <v>0.10757626703264302</v>
      </c>
      <c r="AF89" s="24">
        <f>+resteconomy!AD89/E89</f>
        <v>9.7693049727624048E-2</v>
      </c>
      <c r="AG89" s="24">
        <f t="shared" si="26"/>
        <v>9.8832173050189681E-3</v>
      </c>
    </row>
    <row r="90" spans="1:33" x14ac:dyDescent="0.2">
      <c r="A90">
        <f t="shared" si="27"/>
        <v>1788</v>
      </c>
      <c r="B90" s="25">
        <f>+'Agricultural production'!AJ91</f>
        <v>2069.0671006862194</v>
      </c>
      <c r="C90" s="25">
        <f>+'incomeVOC and total income'!U90</f>
        <v>784.33167505562005</v>
      </c>
      <c r="D90" s="25">
        <f>+resteconomy!Q90/1000</f>
        <v>700.27885130986147</v>
      </c>
      <c r="E90" s="25">
        <f t="shared" si="14"/>
        <v>3553.6776270517012</v>
      </c>
      <c r="F90" s="25"/>
      <c r="G90" s="25">
        <f t="shared" si="15"/>
        <v>940.2131486057965</v>
      </c>
      <c r="H90" s="25">
        <f>+Population!X91/38.04</f>
        <v>1075.361410687432</v>
      </c>
      <c r="I90" s="25">
        <f>1000*E90/Population!X91</f>
        <v>86.872650488321028</v>
      </c>
      <c r="J90" s="41">
        <f>+'incomeVOC and total income'!G90/9.61</f>
        <v>16.938520725357353</v>
      </c>
      <c r="K90" s="25">
        <f t="shared" si="16"/>
        <v>75.91048200803607</v>
      </c>
      <c r="L90" s="25">
        <f>+(J90*100/22.31381)*0.53+0.47*'Agricultural production'!AS91/0.93226</f>
        <v>74.11080516681514</v>
      </c>
      <c r="M90" s="25">
        <f t="shared" si="17"/>
        <v>117.21995233054128</v>
      </c>
      <c r="N90" s="25">
        <f>+M90/(Population!O91/Population!X91)</f>
        <v>73.133170991437851</v>
      </c>
      <c r="O90" s="25"/>
      <c r="P90" s="24">
        <f t="shared" si="18"/>
        <v>0.5822326383619707</v>
      </c>
      <c r="Q90" s="24">
        <f t="shared" si="19"/>
        <v>0.22070985535802207</v>
      </c>
      <c r="R90" s="24">
        <f t="shared" si="20"/>
        <v>0.19705750628000715</v>
      </c>
      <c r="S90" s="25"/>
      <c r="T90" s="25">
        <f>((1000*E90)-J90*(Population!W91+Population!R91))/Population!T91</f>
        <v>179.50518203736615</v>
      </c>
      <c r="U90" s="25">
        <f t="shared" si="21"/>
        <v>242.21189020051804</v>
      </c>
      <c r="W90" s="24">
        <v>0.83894984743444245</v>
      </c>
      <c r="X90" s="47">
        <v>206.02476200895458</v>
      </c>
      <c r="Y90" s="48">
        <v>2323.4064189166656</v>
      </c>
      <c r="Z90" s="25">
        <f t="shared" si="22"/>
        <v>1237.4227923126502</v>
      </c>
      <c r="AA90" s="25">
        <f t="shared" si="23"/>
        <v>2556.8899111824617</v>
      </c>
      <c r="AB90" s="25">
        <f t="shared" si="24"/>
        <v>772.02430865794611</v>
      </c>
      <c r="AC90" s="49">
        <v>1857.9213768499583</v>
      </c>
      <c r="AD90" s="41">
        <f>+resteconomy!AD90+resteconomy!V90/1000</f>
        <v>419.34596709715993</v>
      </c>
      <c r="AE90" s="24">
        <f t="shared" si="25"/>
        <v>0.11800337878286082</v>
      </c>
      <c r="AF90" s="24">
        <f>+resteconomy!AD90/E90</f>
        <v>0.11338138680397046</v>
      </c>
      <c r="AG90" s="24">
        <f t="shared" si="26"/>
        <v>4.6219919788903635E-3</v>
      </c>
    </row>
    <row r="91" spans="1:33" x14ac:dyDescent="0.2">
      <c r="A91">
        <f t="shared" si="27"/>
        <v>1789</v>
      </c>
      <c r="B91" s="25">
        <f>+'Agricultural production'!AJ92</f>
        <v>1858.9345510871215</v>
      </c>
      <c r="C91" s="25">
        <f>+'incomeVOC and total income'!U91</f>
        <v>773.50143383960312</v>
      </c>
      <c r="D91" s="25">
        <f>+resteconomy!Q91/1000</f>
        <v>689.0262718062088</v>
      </c>
      <c r="E91" s="25">
        <f t="shared" si="14"/>
        <v>3321.4622567329334</v>
      </c>
      <c r="F91" s="25"/>
      <c r="G91" s="25">
        <f t="shared" si="15"/>
        <v>821.55074779139409</v>
      </c>
      <c r="H91" s="25">
        <f>+Population!X92/38.04</f>
        <v>1112.4825927831375</v>
      </c>
      <c r="I91" s="25">
        <f>1000*E91/Population!X92</f>
        <v>78.486613222159164</v>
      </c>
      <c r="J91" s="41">
        <f>+'incomeVOC and total income'!G91/9.61</f>
        <v>17.663574813893057</v>
      </c>
      <c r="K91" s="25">
        <f t="shared" si="16"/>
        <v>79.159833367287149</v>
      </c>
      <c r="L91" s="25">
        <f>+(J91*100/22.31381)*0.53+0.47*'Agricultural production'!AS92/0.93226</f>
        <v>79.272900781132051</v>
      </c>
      <c r="M91" s="25">
        <f t="shared" si="17"/>
        <v>99.008125663089103</v>
      </c>
      <c r="N91" s="25">
        <f>+M91/(Population!O92/Population!X92)</f>
        <v>61.680476525545707</v>
      </c>
      <c r="O91" s="25"/>
      <c r="P91" s="24">
        <f t="shared" si="18"/>
        <v>0.55967354357824683</v>
      </c>
      <c r="Q91" s="24">
        <f t="shared" si="19"/>
        <v>0.23287979030068429</v>
      </c>
      <c r="R91" s="24">
        <f t="shared" si="20"/>
        <v>0.20744666612106888</v>
      </c>
      <c r="S91" s="25"/>
      <c r="T91" s="25">
        <f>((1000*E91)-J91*(Population!W92+Population!R92))/Population!T92</f>
        <v>159.51409083758409</v>
      </c>
      <c r="U91" s="25">
        <f t="shared" si="21"/>
        <v>201.22146315547781</v>
      </c>
      <c r="W91" s="24">
        <v>0.81828762980818737</v>
      </c>
      <c r="X91" s="47">
        <v>213.1811390424904</v>
      </c>
      <c r="Y91" s="48">
        <v>2416.2825014659852</v>
      </c>
      <c r="Z91" s="25">
        <f t="shared" si="22"/>
        <v>1045.1711409520906</v>
      </c>
      <c r="AA91" s="25">
        <f t="shared" si="23"/>
        <v>2124.1778371395339</v>
      </c>
      <c r="AB91" s="25">
        <f t="shared" si="24"/>
        <v>651.12488084103632</v>
      </c>
      <c r="AC91" s="49">
        <v>1908.1202930160737</v>
      </c>
      <c r="AD91" s="41">
        <f>+resteconomy!AD91+resteconomy!V91/1000</f>
        <v>185.07694000720898</v>
      </c>
      <c r="AE91" s="24">
        <f t="shared" si="25"/>
        <v>5.5721524347308073E-2</v>
      </c>
      <c r="AF91" s="24">
        <f>+resteconomy!AD91/E91</f>
        <v>4.3622810894096975E-2</v>
      </c>
      <c r="AG91" s="24">
        <f t="shared" si="26"/>
        <v>1.2098713453211098E-2</v>
      </c>
    </row>
    <row r="92" spans="1:33" x14ac:dyDescent="0.2">
      <c r="A92">
        <f t="shared" si="27"/>
        <v>1790</v>
      </c>
      <c r="B92" s="25">
        <f>+'Agricultural production'!AJ93</f>
        <v>1989.6124648865487</v>
      </c>
      <c r="C92" s="25">
        <f>+'incomeVOC and total income'!U92</f>
        <v>611.49944237486864</v>
      </c>
      <c r="D92" s="25">
        <f>+resteconomy!Q92/1000</f>
        <v>715.1550274615156</v>
      </c>
      <c r="E92" s="25">
        <f t="shared" si="14"/>
        <v>3316.266934722933</v>
      </c>
      <c r="F92" s="25"/>
      <c r="G92" s="25">
        <f t="shared" si="15"/>
        <v>816.28779176323519</v>
      </c>
      <c r="H92" s="25">
        <f>+Population!X93/38.04</f>
        <v>1142.4169830812368</v>
      </c>
      <c r="I92" s="25">
        <f>1000*E92/Population!X93</f>
        <v>76.310503984428038</v>
      </c>
      <c r="J92" s="41">
        <f>+'incomeVOC and total income'!G92/9.61</f>
        <v>17.812441299432475</v>
      </c>
      <c r="K92" s="25">
        <f t="shared" si="16"/>
        <v>79.826982928654829</v>
      </c>
      <c r="L92" s="25">
        <f>+(J92*100/22.31381)*0.53+0.47*'Agricultural production'!AS93/0.93226</f>
        <v>79.65921151026221</v>
      </c>
      <c r="M92" s="25">
        <f t="shared" si="17"/>
        <v>95.796208043808264</v>
      </c>
      <c r="N92" s="25">
        <f>+M92/(Population!O93/Population!X93)</f>
        <v>60.441273938034833</v>
      </c>
      <c r="O92" s="25"/>
      <c r="P92" s="24">
        <f t="shared" si="18"/>
        <v>0.59995546319095583</v>
      </c>
      <c r="Q92" s="24">
        <f t="shared" si="19"/>
        <v>0.18439391472748201</v>
      </c>
      <c r="R92" s="24">
        <f t="shared" si="20"/>
        <v>0.2156506220815621</v>
      </c>
      <c r="S92" s="25"/>
      <c r="T92" s="25">
        <f>((1000*E92)-J92*(Population!W93+Population!R93))/Population!T93</f>
        <v>159.90538467161716</v>
      </c>
      <c r="U92" s="25">
        <f t="shared" si="21"/>
        <v>200.73684090008487</v>
      </c>
      <c r="W92" s="24">
        <v>0.87184991784797194</v>
      </c>
      <c r="X92" s="47">
        <v>233.04749879457614</v>
      </c>
      <c r="Y92" s="48">
        <v>2617.5557423074292</v>
      </c>
      <c r="Z92" s="25">
        <f t="shared" si="22"/>
        <v>1011.2647965959588</v>
      </c>
      <c r="AA92" s="25">
        <f t="shared" si="23"/>
        <v>2119.0619621322298</v>
      </c>
      <c r="AB92" s="25">
        <f t="shared" si="24"/>
        <v>638.04334057769643</v>
      </c>
      <c r="AC92" s="49">
        <v>2003.843198834227</v>
      </c>
      <c r="AD92" s="41">
        <f>+resteconomy!AD92+resteconomy!V92/1000</f>
        <v>125.39706168270523</v>
      </c>
      <c r="AE92" s="24">
        <f t="shared" si="25"/>
        <v>3.7812716572884049E-2</v>
      </c>
      <c r="AF92" s="24">
        <f>+resteconomy!AD92/E92</f>
        <v>3.5098821649117325E-2</v>
      </c>
      <c r="AG92" s="24">
        <f t="shared" si="26"/>
        <v>2.7138949237667243E-3</v>
      </c>
    </row>
    <row r="93" spans="1:33" x14ac:dyDescent="0.2">
      <c r="A93">
        <f t="shared" si="27"/>
        <v>1791</v>
      </c>
      <c r="B93" s="25">
        <f>+'Agricultural production'!AJ94</f>
        <v>1957.8705258564034</v>
      </c>
      <c r="C93" s="25">
        <f>+'incomeVOC and total income'!U93</f>
        <v>554.09896153971965</v>
      </c>
      <c r="D93" s="25">
        <f>+resteconomy!Q93/1000</f>
        <v>708.11250184647474</v>
      </c>
      <c r="E93" s="25">
        <f t="shared" si="14"/>
        <v>3220.081989242598</v>
      </c>
      <c r="F93" s="25"/>
      <c r="G93" s="25">
        <f t="shared" si="15"/>
        <v>792.61387341763304</v>
      </c>
      <c r="H93" s="25">
        <f>+Population!X94/38.04</f>
        <v>1098.3650491832996</v>
      </c>
      <c r="I93" s="25">
        <f>1000*E93/Population!X94</f>
        <v>77.068998715572164</v>
      </c>
      <c r="J93" s="41">
        <f>+'incomeVOC and total income'!G93/9.61</f>
        <v>17.90221274682651</v>
      </c>
      <c r="K93" s="25">
        <f t="shared" si="16"/>
        <v>80.229296327370847</v>
      </c>
      <c r="L93" s="25">
        <f>+(J93*100/22.31381)*0.53+0.47*'Agricultural production'!AS94/0.93226</f>
        <v>79.659042885438296</v>
      </c>
      <c r="M93" s="25">
        <f t="shared" si="17"/>
        <v>96.748587384371405</v>
      </c>
      <c r="N93" s="25">
        <f>+M93/(Population!O94/Population!X94)</f>
        <v>61.59178977053417</v>
      </c>
      <c r="O93" s="25"/>
      <c r="P93" s="24">
        <f t="shared" si="18"/>
        <v>0.60801884312173005</v>
      </c>
      <c r="Q93" s="24">
        <f t="shared" si="19"/>
        <v>0.17207604135261487</v>
      </c>
      <c r="R93" s="24">
        <f t="shared" si="20"/>
        <v>0.21990511552565509</v>
      </c>
      <c r="S93" s="25"/>
      <c r="T93" s="25">
        <f>((1000*E93)-J93*(Population!W94+Population!R94))/Population!T94</f>
        <v>160.28919332929243</v>
      </c>
      <c r="U93" s="25">
        <f t="shared" si="21"/>
        <v>201.21908012353654</v>
      </c>
      <c r="W93" s="24">
        <v>0.79398741359525571</v>
      </c>
      <c r="X93" s="47">
        <v>226.38217455062806</v>
      </c>
      <c r="Y93" s="48">
        <v>2647.8106340711961</v>
      </c>
      <c r="Z93" s="25">
        <f t="shared" si="22"/>
        <v>1021.3185108272813</v>
      </c>
      <c r="AA93" s="25">
        <f t="shared" si="23"/>
        <v>2124.1526808587105</v>
      </c>
      <c r="AB93" s="25">
        <f t="shared" si="24"/>
        <v>650.18866640104011</v>
      </c>
      <c r="AC93" s="49">
        <v>1973.5277015563227</v>
      </c>
      <c r="AD93" s="41">
        <f>+resteconomy!AD93+resteconomy!V93/1000</f>
        <v>85.49288250286223</v>
      </c>
      <c r="AE93" s="24">
        <f t="shared" si="25"/>
        <v>2.6549908601231357E-2</v>
      </c>
      <c r="AF93" s="24">
        <f>+resteconomy!AD93/E93</f>
        <v>2.5618255304817737E-2</v>
      </c>
      <c r="AG93" s="24">
        <f t="shared" si="26"/>
        <v>9.3165329641362038E-4</v>
      </c>
    </row>
    <row r="94" spans="1:33" x14ac:dyDescent="0.2">
      <c r="A94">
        <f t="shared" si="27"/>
        <v>1792</v>
      </c>
      <c r="B94" s="25">
        <f>+'Agricultural production'!AJ95</f>
        <v>1815.9840045379844</v>
      </c>
      <c r="C94" s="25">
        <f>+'incomeVOC and total income'!U94</f>
        <v>417.57761522251172</v>
      </c>
      <c r="D94" s="25">
        <f>+resteconomy!Q94/1000</f>
        <v>754.84163731920705</v>
      </c>
      <c r="E94" s="25">
        <f t="shared" si="14"/>
        <v>2988.4032570797035</v>
      </c>
      <c r="F94" s="25"/>
      <c r="G94" s="25">
        <f t="shared" si="15"/>
        <v>739.13383051852873</v>
      </c>
      <c r="H94" s="25">
        <f>+Population!X95/38.04</f>
        <v>1115.4135176270845</v>
      </c>
      <c r="I94" s="25">
        <f>1000*E94/Population!X95</f>
        <v>70.430827246726551</v>
      </c>
      <c r="J94" s="41">
        <f>+'incomeVOC and total income'!G94/9.61</f>
        <v>17.734562618392548</v>
      </c>
      <c r="K94" s="25">
        <f t="shared" si="16"/>
        <v>79.477967314378617</v>
      </c>
      <c r="L94" s="25">
        <f>+(J94*100/22.31381)*0.53+0.47*'Agricultural production'!AS95/0.93226</f>
        <v>79.276769478367925</v>
      </c>
      <c r="M94" s="25">
        <f t="shared" si="17"/>
        <v>88.841696893242926</v>
      </c>
      <c r="N94" s="25">
        <f>+M94/(Population!O95/Population!X95)</f>
        <v>58.602441815651282</v>
      </c>
      <c r="O94" s="25"/>
      <c r="P94" s="24">
        <f t="shared" si="18"/>
        <v>0.60767702626337705</v>
      </c>
      <c r="Q94" s="24">
        <f t="shared" si="19"/>
        <v>0.13973268642150144</v>
      </c>
      <c r="R94" s="24">
        <f t="shared" si="20"/>
        <v>0.25259028731512145</v>
      </c>
      <c r="S94" s="25"/>
      <c r="T94" s="25">
        <f>((1000*E94)-J94*(Population!W95+Population!R95))/Population!T95</f>
        <v>146.82678440998487</v>
      </c>
      <c r="U94" s="25">
        <f t="shared" si="21"/>
        <v>185.20782995584747</v>
      </c>
      <c r="W94" s="24">
        <v>0.74750015089914601</v>
      </c>
      <c r="X94" s="47">
        <v>236.4489810334378</v>
      </c>
      <c r="Y94" s="48">
        <v>2742.2436881799799</v>
      </c>
      <c r="Z94" s="25">
        <f t="shared" si="22"/>
        <v>937.8500712355916</v>
      </c>
      <c r="AA94" s="25">
        <f t="shared" si="23"/>
        <v>1955.1312344495734</v>
      </c>
      <c r="AB94" s="25">
        <f t="shared" si="24"/>
        <v>618.63186041382676</v>
      </c>
      <c r="AC94" s="49">
        <v>2077.8145616307947</v>
      </c>
      <c r="AD94" s="41">
        <f>+resteconomy!AD94+resteconomy!V94/1000</f>
        <v>145.5751856967432</v>
      </c>
      <c r="AE94" s="24">
        <f t="shared" si="25"/>
        <v>4.8713367364952173E-2</v>
      </c>
      <c r="AF94" s="24">
        <f>+resteconomy!AD94/E94</f>
        <v>3.3462686055870841E-2</v>
      </c>
      <c r="AG94" s="24">
        <f t="shared" si="26"/>
        <v>1.5250681309081332E-2</v>
      </c>
    </row>
    <row r="95" spans="1:33" x14ac:dyDescent="0.2">
      <c r="A95">
        <f t="shared" si="27"/>
        <v>1793</v>
      </c>
      <c r="B95" s="25">
        <f>+'Agricultural production'!AJ96</f>
        <v>1922.4418445960437</v>
      </c>
      <c r="C95" s="25">
        <f>+'incomeVOC and total income'!U95</f>
        <v>421.61127822209431</v>
      </c>
      <c r="D95" s="25">
        <f>+resteconomy!Q95/1000</f>
        <v>859.8512109726073</v>
      </c>
      <c r="E95" s="25">
        <f t="shared" si="14"/>
        <v>3203.9043337907451</v>
      </c>
      <c r="F95" s="25"/>
      <c r="G95" s="25">
        <f t="shared" si="15"/>
        <v>829.53022032616025</v>
      </c>
      <c r="H95" s="25">
        <f>+Population!X96/38.04</f>
        <v>1205.803447534596</v>
      </c>
      <c r="I95" s="25">
        <f>1000*E95/Population!X96</f>
        <v>69.849372735805972</v>
      </c>
      <c r="J95" s="73">
        <v>17</v>
      </c>
      <c r="K95" s="25">
        <f t="shared" si="16"/>
        <v>76.186003197123213</v>
      </c>
      <c r="L95" s="25">
        <f>+(J95*100/22.31381)*0.53+0.47*'Agricultural production'!AS96/0.93226</f>
        <v>75.731603339344844</v>
      </c>
      <c r="M95" s="25">
        <f t="shared" si="17"/>
        <v>92.232792725671928</v>
      </c>
      <c r="N95" s="25">
        <f>+M95/(Population!O96/Population!X96)</f>
        <v>60.343525626837618</v>
      </c>
      <c r="O95" s="25"/>
      <c r="P95" s="24">
        <f t="shared" si="18"/>
        <v>0.60003097605647893</v>
      </c>
      <c r="Q95" s="24">
        <f t="shared" si="19"/>
        <v>0.13159296729789025</v>
      </c>
      <c r="R95" s="24">
        <f t="shared" si="20"/>
        <v>0.26837605664563091</v>
      </c>
      <c r="S95" s="25"/>
      <c r="T95" s="25">
        <f>((1000*E95)-J95*(Population!W96+Population!R96))/Population!T96</f>
        <v>156.08820380886033</v>
      </c>
      <c r="U95" s="25">
        <f t="shared" si="21"/>
        <v>206.10708994162786</v>
      </c>
      <c r="W95" s="24">
        <v>0.45566370239907911</v>
      </c>
      <c r="X95" s="47">
        <v>255.71294038819195</v>
      </c>
      <c r="Y95" s="48">
        <v>2793.1595525875518</v>
      </c>
      <c r="Z95" s="25">
        <f t="shared" si="22"/>
        <v>973.64789567192508</v>
      </c>
      <c r="AA95" s="25">
        <f t="shared" si="23"/>
        <v>2175.7525547513251</v>
      </c>
      <c r="AB95" s="25">
        <f t="shared" si="24"/>
        <v>637.01146856460753</v>
      </c>
      <c r="AC95" s="49">
        <v>1913.1908271079587</v>
      </c>
      <c r="AD95" s="41">
        <f>+resteconomy!AD95+resteconomy!V95/1000</f>
        <v>175.82243341262</v>
      </c>
      <c r="AE95" s="24">
        <f t="shared" si="25"/>
        <v>5.487755410118416E-2</v>
      </c>
      <c r="AF95" s="24">
        <f>+resteconomy!AD95/E95</f>
        <v>3.1211918204088064E-2</v>
      </c>
      <c r="AG95" s="24">
        <f t="shared" si="26"/>
        <v>2.3665635897096096E-2</v>
      </c>
    </row>
    <row r="96" spans="1:33" x14ac:dyDescent="0.2">
      <c r="A96">
        <f t="shared" si="27"/>
        <v>1794</v>
      </c>
      <c r="B96" s="25">
        <f>+'Agricultural production'!AJ97</f>
        <v>2003.1782158792867</v>
      </c>
      <c r="C96" s="32">
        <v>200</v>
      </c>
      <c r="D96" s="25">
        <f>+resteconomy!Q96/1000</f>
        <v>972.91200871141837</v>
      </c>
      <c r="E96" s="25">
        <f t="shared" si="14"/>
        <v>3176.090224590705</v>
      </c>
      <c r="F96" s="25"/>
      <c r="G96" s="25"/>
      <c r="H96" s="25"/>
      <c r="W96" s="24">
        <v>0.42339799156299068</v>
      </c>
      <c r="X96" s="47">
        <v>272.59835769100619</v>
      </c>
      <c r="Y96" s="48">
        <v>2908.9244680815455</v>
      </c>
      <c r="Z96">
        <f t="shared" ref="Z96" si="28">2335*M96/X96</f>
        <v>0</v>
      </c>
      <c r="AC96" s="49">
        <v>1869.5105209033404</v>
      </c>
      <c r="AD96" s="41">
        <f>+resteconomy!AD96+resteconomy!V96/1000</f>
        <v>39.806112086263255</v>
      </c>
      <c r="AE96" s="24">
        <f t="shared" si="25"/>
        <v>1.2533054564403305E-2</v>
      </c>
      <c r="AF96" s="24">
        <f>+resteconomy!AD96/E96</f>
        <v>0</v>
      </c>
      <c r="AG96" s="24">
        <f t="shared" si="26"/>
        <v>1.2533054564403305E-2</v>
      </c>
    </row>
    <row r="97" spans="1:25" x14ac:dyDescent="0.2">
      <c r="A97">
        <f t="shared" si="27"/>
        <v>1795</v>
      </c>
      <c r="B97" s="25">
        <f>+'Agricultural production'!AJ98</f>
        <v>1979.3985506962517</v>
      </c>
      <c r="G97" s="25"/>
      <c r="H97" s="25"/>
      <c r="W97" s="24">
        <v>0</v>
      </c>
      <c r="Y97" s="48">
        <v>2398.179690946512</v>
      </c>
    </row>
    <row r="98" spans="1:25" x14ac:dyDescent="0.2">
      <c r="A98">
        <f t="shared" si="27"/>
        <v>1796</v>
      </c>
    </row>
    <row r="99" spans="1:25" x14ac:dyDescent="0.2">
      <c r="A99">
        <f t="shared" si="27"/>
        <v>1797</v>
      </c>
      <c r="G99" s="51"/>
      <c r="H99" s="51"/>
    </row>
    <row r="100" spans="1:25" x14ac:dyDescent="0.2">
      <c r="A100">
        <f t="shared" si="27"/>
        <v>1798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5"/>
  <sheetViews>
    <sheetView topLeftCell="A91" workbookViewId="0">
      <selection activeCell="B111" sqref="B111"/>
    </sheetView>
  </sheetViews>
  <sheetFormatPr defaultRowHeight="12.75" x14ac:dyDescent="0.2"/>
  <cols>
    <col min="2" max="2" width="9.5703125" bestFit="1" customWidth="1"/>
  </cols>
  <sheetData>
    <row r="1" spans="1:13" x14ac:dyDescent="0.2">
      <c r="A1" t="s">
        <v>3</v>
      </c>
    </row>
    <row r="2" spans="1:13" x14ac:dyDescent="0.2">
      <c r="B2" t="s">
        <v>15</v>
      </c>
      <c r="C2" t="s">
        <v>4</v>
      </c>
      <c r="D2" s="1" t="s">
        <v>5</v>
      </c>
      <c r="E2" t="s">
        <v>6</v>
      </c>
      <c r="F2" s="3" t="s">
        <v>7</v>
      </c>
      <c r="G2" t="s">
        <v>8</v>
      </c>
      <c r="H2" t="s">
        <v>9</v>
      </c>
      <c r="I2" t="s">
        <v>10</v>
      </c>
      <c r="J2" t="s">
        <v>11</v>
      </c>
      <c r="K2" t="s">
        <v>12</v>
      </c>
      <c r="L2" t="s">
        <v>13</v>
      </c>
      <c r="M2" t="s">
        <v>14</v>
      </c>
    </row>
    <row r="3" spans="1:13" x14ac:dyDescent="0.2">
      <c r="A3">
        <f t="shared" ref="A3:A50" si="0">+A4-1</f>
        <v>1699</v>
      </c>
      <c r="D3" s="1"/>
      <c r="F3" s="3"/>
    </row>
    <row r="4" spans="1:13" x14ac:dyDescent="0.2">
      <c r="A4">
        <f t="shared" si="0"/>
        <v>1700</v>
      </c>
      <c r="D4" s="1"/>
      <c r="F4" s="3"/>
    </row>
    <row r="5" spans="1:13" x14ac:dyDescent="0.2">
      <c r="A5">
        <f t="shared" si="0"/>
        <v>1701</v>
      </c>
      <c r="B5" s="32">
        <f>+'Wissel transfers from the Cape'!B2*151/259</f>
        <v>0</v>
      </c>
      <c r="D5" s="1"/>
      <c r="F5" s="3"/>
    </row>
    <row r="6" spans="1:13" x14ac:dyDescent="0.2">
      <c r="A6">
        <f t="shared" si="0"/>
        <v>1702</v>
      </c>
      <c r="B6" s="32">
        <f>+'Wissel transfers from the Cape'!B3*151/259</f>
        <v>14291.362934362935</v>
      </c>
      <c r="D6" s="1"/>
      <c r="F6" s="3"/>
    </row>
    <row r="7" spans="1:13" x14ac:dyDescent="0.2">
      <c r="A7">
        <f t="shared" si="0"/>
        <v>1703</v>
      </c>
      <c r="B7" s="32">
        <f>+'Wissel transfers from the Cape'!B4*151/259</f>
        <v>0</v>
      </c>
      <c r="D7" s="1"/>
      <c r="F7" s="3"/>
    </row>
    <row r="8" spans="1:13" x14ac:dyDescent="0.2">
      <c r="A8">
        <f t="shared" si="0"/>
        <v>1704</v>
      </c>
      <c r="B8" s="32">
        <f>+'Wissel transfers from the Cape'!B5*151/259</f>
        <v>21278.173745173746</v>
      </c>
      <c r="D8" s="1"/>
      <c r="F8" s="3"/>
    </row>
    <row r="9" spans="1:13" x14ac:dyDescent="0.2">
      <c r="A9">
        <f t="shared" si="0"/>
        <v>1705</v>
      </c>
      <c r="B9" s="32">
        <f>+'Wissel transfers from the Cape'!B6*151/259</f>
        <v>17819.749034749035</v>
      </c>
      <c r="D9" s="1"/>
      <c r="F9" s="3"/>
    </row>
    <row r="10" spans="1:13" x14ac:dyDescent="0.2">
      <c r="A10">
        <f t="shared" si="0"/>
        <v>1706</v>
      </c>
      <c r="B10" s="32">
        <f>+'Wissel transfers from the Cape'!B7*151/259</f>
        <v>16806.474903474904</v>
      </c>
      <c r="D10" s="1"/>
      <c r="F10" s="3"/>
    </row>
    <row r="11" spans="1:13" x14ac:dyDescent="0.2">
      <c r="A11">
        <f t="shared" si="0"/>
        <v>1707</v>
      </c>
      <c r="B11" s="32">
        <f>+'Wissel transfers from the Cape'!B8*151/259</f>
        <v>9352.0888030888036</v>
      </c>
      <c r="D11" s="1"/>
      <c r="F11" s="3"/>
    </row>
    <row r="12" spans="1:13" x14ac:dyDescent="0.2">
      <c r="A12">
        <f t="shared" si="0"/>
        <v>1708</v>
      </c>
      <c r="B12" s="32">
        <f>+'Wissel transfers from the Cape'!B9*151/259</f>
        <v>17266.471042471043</v>
      </c>
      <c r="D12" s="1"/>
      <c r="F12" s="3"/>
    </row>
    <row r="13" spans="1:13" x14ac:dyDescent="0.2">
      <c r="A13">
        <f t="shared" si="0"/>
        <v>1709</v>
      </c>
      <c r="B13" s="32">
        <f>+'Wissel transfers from the Cape'!B10*151/259</f>
        <v>65950.853281853284</v>
      </c>
      <c r="D13" s="1"/>
      <c r="F13" s="3"/>
    </row>
    <row r="14" spans="1:13" x14ac:dyDescent="0.2">
      <c r="A14">
        <f t="shared" si="0"/>
        <v>1710</v>
      </c>
      <c r="B14" s="32">
        <f>+'Wissel transfers from the Cape'!B11*151/259</f>
        <v>69791.733590733595</v>
      </c>
      <c r="D14" s="1"/>
      <c r="F14" s="3"/>
    </row>
    <row r="15" spans="1:13" x14ac:dyDescent="0.2">
      <c r="A15">
        <f t="shared" si="0"/>
        <v>1711</v>
      </c>
      <c r="B15" s="32">
        <f>+'Wissel transfers from the Cape'!B12*151/259</f>
        <v>29782.563706563706</v>
      </c>
      <c r="D15" s="1"/>
      <c r="F15" s="3"/>
    </row>
    <row r="16" spans="1:13" x14ac:dyDescent="0.2">
      <c r="A16">
        <f t="shared" si="0"/>
        <v>1712</v>
      </c>
      <c r="B16" s="32">
        <f>+'Wissel transfers from the Cape'!B13*151/259</f>
        <v>25472.359073359072</v>
      </c>
      <c r="D16" s="1"/>
      <c r="F16" s="3"/>
    </row>
    <row r="17" spans="1:6" x14ac:dyDescent="0.2">
      <c r="A17">
        <f t="shared" si="0"/>
        <v>1713</v>
      </c>
      <c r="B17" s="32">
        <f>+'Wissel transfers from the Cape'!B14*151/259</f>
        <v>46070.158301158299</v>
      </c>
      <c r="D17" s="1"/>
      <c r="F17" s="3"/>
    </row>
    <row r="18" spans="1:6" x14ac:dyDescent="0.2">
      <c r="A18">
        <f t="shared" si="0"/>
        <v>1714</v>
      </c>
      <c r="B18" s="32">
        <f>+'Wissel transfers from the Cape'!B15*151/259</f>
        <v>22465.76833976834</v>
      </c>
      <c r="D18" s="1"/>
      <c r="F18" s="3"/>
    </row>
    <row r="19" spans="1:6" x14ac:dyDescent="0.2">
      <c r="A19">
        <f t="shared" si="0"/>
        <v>1715</v>
      </c>
      <c r="B19" s="32">
        <f>+'Wissel transfers from the Cape'!B16*151/259</f>
        <v>47605.227799227796</v>
      </c>
      <c r="D19" s="1"/>
      <c r="F19" s="3"/>
    </row>
    <row r="20" spans="1:6" x14ac:dyDescent="0.2">
      <c r="A20">
        <f t="shared" si="0"/>
        <v>1716</v>
      </c>
      <c r="B20" s="32">
        <f>+'Wissel transfers from the Cape'!B17*151/259</f>
        <v>45073.791505791509</v>
      </c>
      <c r="D20" s="1"/>
      <c r="F20" s="3"/>
    </row>
    <row r="21" spans="1:6" x14ac:dyDescent="0.2">
      <c r="A21">
        <f t="shared" si="0"/>
        <v>1717</v>
      </c>
      <c r="B21" s="32">
        <f>+'Wissel transfers from the Cape'!B18*151/259</f>
        <v>28969.262548262548</v>
      </c>
      <c r="D21" s="1"/>
      <c r="F21" s="3"/>
    </row>
    <row r="22" spans="1:6" x14ac:dyDescent="0.2">
      <c r="A22">
        <f t="shared" si="0"/>
        <v>1718</v>
      </c>
      <c r="B22" s="32">
        <f>+'Wissel transfers from the Cape'!B19*151/259</f>
        <v>120646.08494208494</v>
      </c>
      <c r="D22" s="1"/>
      <c r="F22" s="3"/>
    </row>
    <row r="23" spans="1:6" x14ac:dyDescent="0.2">
      <c r="A23">
        <f t="shared" si="0"/>
        <v>1719</v>
      </c>
      <c r="B23" s="32">
        <f>+'Wissel transfers from the Cape'!B20*151/259</f>
        <v>23226.015444015444</v>
      </c>
      <c r="D23" s="1"/>
      <c r="F23" s="3"/>
    </row>
    <row r="24" spans="1:6" x14ac:dyDescent="0.2">
      <c r="A24">
        <f t="shared" si="0"/>
        <v>1720</v>
      </c>
      <c r="B24" s="32">
        <f>+'Wissel transfers from the Cape'!B21*151/259</f>
        <v>24889.347490347489</v>
      </c>
      <c r="D24" s="1"/>
      <c r="F24" s="3"/>
    </row>
    <row r="25" spans="1:6" x14ac:dyDescent="0.2">
      <c r="A25">
        <f t="shared" si="0"/>
        <v>1721</v>
      </c>
      <c r="B25" s="32">
        <f>+'Wissel transfers from the Cape'!B22*151/259</f>
        <v>12784.861003861004</v>
      </c>
      <c r="D25" s="1"/>
      <c r="F25" s="3"/>
    </row>
    <row r="26" spans="1:6" x14ac:dyDescent="0.2">
      <c r="A26">
        <f t="shared" si="0"/>
        <v>1722</v>
      </c>
      <c r="B26" s="32">
        <f>+'Wissel transfers from the Cape'!B23*151/259</f>
        <v>0</v>
      </c>
      <c r="D26" s="1"/>
      <c r="F26" s="3"/>
    </row>
    <row r="27" spans="1:6" x14ac:dyDescent="0.2">
      <c r="A27">
        <f t="shared" si="0"/>
        <v>1723</v>
      </c>
      <c r="B27" s="32">
        <f>+'Wissel transfers from the Cape'!B24*151/259</f>
        <v>54848.563706563706</v>
      </c>
      <c r="D27" s="1"/>
      <c r="F27" s="3"/>
    </row>
    <row r="28" spans="1:6" x14ac:dyDescent="0.2">
      <c r="A28">
        <f t="shared" si="0"/>
        <v>1724</v>
      </c>
      <c r="B28" s="32">
        <f>+'Wissel transfers from the Cape'!B25*151/259</f>
        <v>95513.621621621627</v>
      </c>
      <c r="D28" s="1"/>
      <c r="F28" s="3"/>
    </row>
    <row r="29" spans="1:6" x14ac:dyDescent="0.2">
      <c r="A29">
        <f t="shared" si="0"/>
        <v>1725</v>
      </c>
      <c r="B29" s="32">
        <f>+'Wissel transfers from the Cape'!B26*151/259</f>
        <v>93951.150579150577</v>
      </c>
      <c r="D29" s="1"/>
      <c r="F29" s="3"/>
    </row>
    <row r="30" spans="1:6" x14ac:dyDescent="0.2">
      <c r="A30">
        <f t="shared" si="0"/>
        <v>1726</v>
      </c>
      <c r="B30" s="32">
        <f>+'Wissel transfers from the Cape'!B27*151/259</f>
        <v>74255.270270270266</v>
      </c>
      <c r="D30" s="1"/>
      <c r="F30" s="3"/>
    </row>
    <row r="31" spans="1:6" x14ac:dyDescent="0.2">
      <c r="A31">
        <f t="shared" si="0"/>
        <v>1727</v>
      </c>
      <c r="B31" s="32">
        <f>+'Wissel transfers from the Cape'!B28*151/259</f>
        <v>94625.111969111967</v>
      </c>
      <c r="D31" s="1"/>
      <c r="F31" s="3"/>
    </row>
    <row r="32" spans="1:6" x14ac:dyDescent="0.2">
      <c r="A32">
        <f t="shared" si="0"/>
        <v>1728</v>
      </c>
      <c r="B32" s="32">
        <f>+'Wissel transfers from the Cape'!B29*151/259</f>
        <v>40354.895752895754</v>
      </c>
      <c r="D32" s="1"/>
      <c r="F32" s="3"/>
    </row>
    <row r="33" spans="1:6" x14ac:dyDescent="0.2">
      <c r="A33">
        <f t="shared" si="0"/>
        <v>1729</v>
      </c>
      <c r="B33" s="32">
        <f>+'Wissel transfers from the Cape'!B30*151/259</f>
        <v>27448.76833976834</v>
      </c>
      <c r="D33" s="1"/>
      <c r="F33" s="3"/>
    </row>
    <row r="34" spans="1:6" x14ac:dyDescent="0.2">
      <c r="A34">
        <f t="shared" si="0"/>
        <v>1730</v>
      </c>
      <c r="B34" s="32">
        <f>+'Wissel transfers from the Cape'!B31*151/259</f>
        <v>64156.926640926642</v>
      </c>
      <c r="D34" s="1"/>
      <c r="F34" s="3"/>
    </row>
    <row r="35" spans="1:6" x14ac:dyDescent="0.2">
      <c r="A35">
        <f t="shared" si="0"/>
        <v>1731</v>
      </c>
      <c r="B35" s="32">
        <f>+'Wissel transfers from the Cape'!B32*151/259</f>
        <v>46663.66409266409</v>
      </c>
      <c r="D35" s="1"/>
      <c r="F35" s="3"/>
    </row>
    <row r="36" spans="1:6" x14ac:dyDescent="0.2">
      <c r="A36">
        <f t="shared" si="0"/>
        <v>1732</v>
      </c>
      <c r="B36" s="32">
        <f>+'Wissel transfers from the Cape'!B33*151/259</f>
        <v>66667.95752895753</v>
      </c>
      <c r="D36" s="1"/>
      <c r="F36" s="3"/>
    </row>
    <row r="37" spans="1:6" x14ac:dyDescent="0.2">
      <c r="A37">
        <f t="shared" si="0"/>
        <v>1733</v>
      </c>
      <c r="B37" s="32">
        <f>+'Wissel transfers from the Cape'!B34*151/259</f>
        <v>67468.432432432426</v>
      </c>
      <c r="D37" s="1"/>
      <c r="F37" s="3"/>
    </row>
    <row r="38" spans="1:6" x14ac:dyDescent="0.2">
      <c r="A38">
        <f t="shared" si="0"/>
        <v>1734</v>
      </c>
      <c r="B38" s="32">
        <f>+'Wissel transfers from the Cape'!B35*151/259</f>
        <v>37431.092664092663</v>
      </c>
      <c r="D38" s="1"/>
      <c r="F38" s="3"/>
    </row>
    <row r="39" spans="1:6" x14ac:dyDescent="0.2">
      <c r="A39">
        <f t="shared" si="0"/>
        <v>1735</v>
      </c>
      <c r="B39" s="32">
        <f>+'Wissel transfers from the Cape'!B36*151/259</f>
        <v>7212.4362934362935</v>
      </c>
      <c r="D39" s="1"/>
      <c r="F39" s="3"/>
    </row>
    <row r="40" spans="1:6" x14ac:dyDescent="0.2">
      <c r="A40">
        <f t="shared" si="0"/>
        <v>1736</v>
      </c>
      <c r="B40" s="32">
        <f>+'Wissel transfers from the Cape'!B37*151/259</f>
        <v>91854.057915057914</v>
      </c>
      <c r="D40" s="1"/>
      <c r="F40" s="3"/>
    </row>
    <row r="41" spans="1:6" x14ac:dyDescent="0.2">
      <c r="A41">
        <f t="shared" si="0"/>
        <v>1737</v>
      </c>
      <c r="B41" s="32">
        <f>+'Wissel transfers from the Cape'!B38*151/259</f>
        <v>72720.783783783787</v>
      </c>
      <c r="D41" s="1"/>
      <c r="F41" s="3"/>
    </row>
    <row r="42" spans="1:6" x14ac:dyDescent="0.2">
      <c r="A42">
        <f t="shared" si="0"/>
        <v>1738</v>
      </c>
      <c r="B42" s="32">
        <f>+'Wissel transfers from the Cape'!B39*151/259</f>
        <v>85357.559845559852</v>
      </c>
      <c r="D42" s="1"/>
      <c r="F42" s="3"/>
    </row>
    <row r="43" spans="1:6" x14ac:dyDescent="0.2">
      <c r="A43">
        <f t="shared" si="0"/>
        <v>1739</v>
      </c>
      <c r="B43" s="32">
        <f>+'Wissel transfers from the Cape'!B40*151/259</f>
        <v>99059.498069498062</v>
      </c>
      <c r="D43" s="1"/>
      <c r="F43" s="3"/>
    </row>
    <row r="44" spans="1:6" x14ac:dyDescent="0.2">
      <c r="A44">
        <f t="shared" si="0"/>
        <v>1740</v>
      </c>
      <c r="B44" s="32">
        <f>+'Wissel transfers from the Cape'!B41*151/259</f>
        <v>53993.868725868728</v>
      </c>
      <c r="D44" s="1"/>
      <c r="F44" s="3"/>
    </row>
    <row r="45" spans="1:6" x14ac:dyDescent="0.2">
      <c r="A45">
        <f t="shared" si="0"/>
        <v>1741</v>
      </c>
      <c r="B45" s="32">
        <f>+'Wissel transfers from the Cape'!B42*151/259</f>
        <v>124746.4054054054</v>
      </c>
      <c r="D45" s="1"/>
      <c r="F45" s="3"/>
    </row>
    <row r="46" spans="1:6" x14ac:dyDescent="0.2">
      <c r="A46">
        <f t="shared" si="0"/>
        <v>1742</v>
      </c>
      <c r="B46" s="32">
        <f>+'Wissel transfers from the Cape'!B43*151/259</f>
        <v>130798.64864864865</v>
      </c>
      <c r="D46" s="1"/>
      <c r="F46" s="3"/>
    </row>
    <row r="47" spans="1:6" x14ac:dyDescent="0.2">
      <c r="A47">
        <f t="shared" si="0"/>
        <v>1743</v>
      </c>
      <c r="B47" s="32">
        <f>+'Wissel transfers from the Cape'!B44*151/259</f>
        <v>137713.16602316604</v>
      </c>
      <c r="D47" s="1"/>
      <c r="F47" s="3"/>
    </row>
    <row r="48" spans="1:6" x14ac:dyDescent="0.2">
      <c r="A48">
        <f t="shared" si="0"/>
        <v>1744</v>
      </c>
      <c r="B48" s="32">
        <f>+'Wissel transfers from the Cape'!B45*151/259</f>
        <v>93309.254826254823</v>
      </c>
      <c r="D48" s="1"/>
      <c r="F48" s="3"/>
    </row>
    <row r="49" spans="1:10" x14ac:dyDescent="0.2">
      <c r="A49">
        <f t="shared" si="0"/>
        <v>1745</v>
      </c>
      <c r="B49" s="32">
        <f>+'Wissel transfers from the Cape'!B46*151/259</f>
        <v>103908.98841698842</v>
      </c>
      <c r="D49" s="1"/>
      <c r="F49" s="3"/>
    </row>
    <row r="50" spans="1:10" x14ac:dyDescent="0.2">
      <c r="A50">
        <f t="shared" si="0"/>
        <v>1746</v>
      </c>
      <c r="B50" s="32">
        <f>+'Wissel transfers from the Cape'!B47*151/259</f>
        <v>135557.1891891892</v>
      </c>
      <c r="D50" s="1"/>
      <c r="F50" s="3"/>
    </row>
    <row r="51" spans="1:10" x14ac:dyDescent="0.2">
      <c r="A51">
        <f>+A52-1</f>
        <v>1747</v>
      </c>
      <c r="B51" s="32">
        <f>+'Wissel transfers from the Cape'!B48*151/259</f>
        <v>176245.56756756757</v>
      </c>
      <c r="D51" s="1"/>
      <c r="F51" s="3"/>
    </row>
    <row r="52" spans="1:10" x14ac:dyDescent="0.2">
      <c r="A52">
        <v>1748</v>
      </c>
      <c r="B52">
        <v>150826</v>
      </c>
      <c r="C52">
        <v>65713</v>
      </c>
      <c r="D52" s="2">
        <v>17694</v>
      </c>
      <c r="E52">
        <v>10896</v>
      </c>
      <c r="F52">
        <v>28607</v>
      </c>
      <c r="G52">
        <v>20046</v>
      </c>
      <c r="H52">
        <v>7870</v>
      </c>
      <c r="J52">
        <f>+'Wissel transfers from the Cape'!B49</f>
        <v>258690</v>
      </c>
    </row>
    <row r="53" spans="1:10" x14ac:dyDescent="0.2">
      <c r="A53">
        <v>1749</v>
      </c>
      <c r="B53">
        <v>128978</v>
      </c>
      <c r="C53">
        <v>31534</v>
      </c>
      <c r="D53">
        <v>28472</v>
      </c>
      <c r="E53">
        <v>11000</v>
      </c>
      <c r="F53">
        <v>19522</v>
      </c>
      <c r="G53">
        <v>27397</v>
      </c>
      <c r="H53">
        <v>11053</v>
      </c>
    </row>
    <row r="54" spans="1:10" x14ac:dyDescent="0.2">
      <c r="A54">
        <v>1750</v>
      </c>
      <c r="B54">
        <v>151369</v>
      </c>
      <c r="C54">
        <v>31140</v>
      </c>
      <c r="D54">
        <v>42601</v>
      </c>
      <c r="E54">
        <v>10971</v>
      </c>
      <c r="F54">
        <v>30477</v>
      </c>
      <c r="G54">
        <v>28500</v>
      </c>
      <c r="H54">
        <v>7680</v>
      </c>
    </row>
    <row r="55" spans="1:10" x14ac:dyDescent="0.2">
      <c r="A55">
        <v>1751</v>
      </c>
      <c r="B55">
        <v>113344</v>
      </c>
      <c r="C55">
        <v>27918</v>
      </c>
      <c r="D55">
        <v>18065</v>
      </c>
      <c r="E55">
        <v>7679</v>
      </c>
      <c r="F55">
        <v>31118</v>
      </c>
      <c r="G55">
        <v>23679</v>
      </c>
      <c r="H55">
        <v>4885</v>
      </c>
    </row>
    <row r="56" spans="1:10" x14ac:dyDescent="0.2">
      <c r="A56">
        <v>1752</v>
      </c>
      <c r="B56">
        <v>151853</v>
      </c>
      <c r="C56">
        <v>55675</v>
      </c>
      <c r="D56">
        <v>24319</v>
      </c>
      <c r="E56">
        <v>2797</v>
      </c>
      <c r="F56">
        <v>32588</v>
      </c>
      <c r="G56">
        <v>28899</v>
      </c>
      <c r="H56">
        <v>7575</v>
      </c>
    </row>
    <row r="57" spans="1:10" x14ac:dyDescent="0.2">
      <c r="A57">
        <v>1753</v>
      </c>
      <c r="B57">
        <v>112287</v>
      </c>
      <c r="C57">
        <v>43247</v>
      </c>
      <c r="D57">
        <v>27484</v>
      </c>
      <c r="E57">
        <v>554</v>
      </c>
      <c r="F57">
        <v>23916</v>
      </c>
      <c r="G57">
        <v>16630</v>
      </c>
      <c r="I57">
        <v>456</v>
      </c>
    </row>
    <row r="58" spans="1:10" x14ac:dyDescent="0.2">
      <c r="A58">
        <v>1754</v>
      </c>
      <c r="B58">
        <v>61147</v>
      </c>
      <c r="C58">
        <v>31680</v>
      </c>
      <c r="D58">
        <v>10579</v>
      </c>
      <c r="E58">
        <v>89</v>
      </c>
      <c r="F58">
        <v>13966</v>
      </c>
      <c r="G58">
        <v>4833</v>
      </c>
    </row>
    <row r="59" spans="1:10" x14ac:dyDescent="0.2">
      <c r="A59">
        <v>1755</v>
      </c>
      <c r="B59">
        <v>72257</v>
      </c>
      <c r="C59">
        <v>16326</v>
      </c>
      <c r="D59">
        <v>37783</v>
      </c>
      <c r="E59">
        <v>837</v>
      </c>
      <c r="F59">
        <v>10949</v>
      </c>
      <c r="G59">
        <v>5324</v>
      </c>
      <c r="H59">
        <v>1038</v>
      </c>
    </row>
    <row r="60" spans="1:10" x14ac:dyDescent="0.2">
      <c r="A60">
        <v>1756</v>
      </c>
      <c r="B60">
        <v>47852</v>
      </c>
      <c r="C60">
        <v>20732</v>
      </c>
      <c r="D60">
        <v>16721</v>
      </c>
      <c r="E60">
        <v>2205</v>
      </c>
      <c r="F60">
        <v>2078</v>
      </c>
      <c r="G60">
        <v>6017</v>
      </c>
      <c r="H60">
        <v>99</v>
      </c>
    </row>
    <row r="61" spans="1:10" x14ac:dyDescent="0.2">
      <c r="A61">
        <v>1757</v>
      </c>
      <c r="B61">
        <v>66935</v>
      </c>
      <c r="C61">
        <v>22403</v>
      </c>
      <c r="D61">
        <v>15519</v>
      </c>
      <c r="E61">
        <v>4203</v>
      </c>
      <c r="F61">
        <v>14368</v>
      </c>
      <c r="G61">
        <v>8600</v>
      </c>
      <c r="I61">
        <v>1842</v>
      </c>
    </row>
    <row r="62" spans="1:10" x14ac:dyDescent="0.2">
      <c r="A62">
        <v>1758</v>
      </c>
      <c r="B62">
        <v>56481</v>
      </c>
      <c r="C62">
        <v>26300</v>
      </c>
      <c r="D62">
        <v>2961</v>
      </c>
      <c r="E62">
        <v>631</v>
      </c>
      <c r="F62">
        <v>6121</v>
      </c>
      <c r="G62">
        <v>19625</v>
      </c>
      <c r="I62">
        <v>843</v>
      </c>
    </row>
    <row r="63" spans="1:10" x14ac:dyDescent="0.2">
      <c r="A63">
        <v>1759</v>
      </c>
      <c r="B63">
        <v>110912</v>
      </c>
      <c r="C63">
        <v>49645</v>
      </c>
      <c r="D63">
        <v>16186</v>
      </c>
      <c r="E63">
        <v>1187</v>
      </c>
      <c r="F63">
        <v>20593</v>
      </c>
      <c r="G63">
        <v>23301</v>
      </c>
    </row>
    <row r="64" spans="1:10" x14ac:dyDescent="0.2">
      <c r="A64" s="4">
        <v>1760</v>
      </c>
      <c r="B64">
        <v>132708</v>
      </c>
      <c r="C64">
        <v>47961</v>
      </c>
      <c r="D64">
        <v>10603</v>
      </c>
      <c r="E64">
        <v>3444</v>
      </c>
      <c r="F64">
        <v>24426</v>
      </c>
      <c r="G64">
        <v>46274</v>
      </c>
    </row>
    <row r="65" spans="1:13" x14ac:dyDescent="0.2">
      <c r="A65" s="4">
        <v>1761</v>
      </c>
      <c r="B65">
        <v>121373</v>
      </c>
      <c r="C65">
        <v>39257</v>
      </c>
      <c r="D65">
        <v>17967</v>
      </c>
      <c r="E65">
        <v>4837</v>
      </c>
      <c r="F65">
        <v>31882</v>
      </c>
      <c r="G65">
        <v>27430</v>
      </c>
    </row>
    <row r="66" spans="1:13" x14ac:dyDescent="0.2">
      <c r="A66">
        <v>1762</v>
      </c>
      <c r="B66" s="30">
        <v>118000</v>
      </c>
    </row>
    <row r="67" spans="1:13" x14ac:dyDescent="0.2">
      <c r="A67">
        <v>1763</v>
      </c>
      <c r="B67">
        <v>115038</v>
      </c>
      <c r="C67">
        <v>30641</v>
      </c>
      <c r="D67">
        <v>11758</v>
      </c>
      <c r="E67">
        <v>11511</v>
      </c>
      <c r="F67">
        <v>41148</v>
      </c>
      <c r="G67">
        <v>19980</v>
      </c>
    </row>
    <row r="68" spans="1:13" x14ac:dyDescent="0.2">
      <c r="A68">
        <v>1764</v>
      </c>
      <c r="B68">
        <v>110674</v>
      </c>
      <c r="C68">
        <v>44598</v>
      </c>
      <c r="D68">
        <v>9552</v>
      </c>
      <c r="E68">
        <v>3597</v>
      </c>
      <c r="F68">
        <v>34248</v>
      </c>
      <c r="G68">
        <v>18679</v>
      </c>
    </row>
    <row r="69" spans="1:13" x14ac:dyDescent="0.2">
      <c r="A69">
        <v>1765</v>
      </c>
      <c r="B69">
        <v>144934</v>
      </c>
      <c r="C69">
        <v>28309</v>
      </c>
      <c r="D69">
        <v>15250</v>
      </c>
      <c r="E69">
        <v>1267</v>
      </c>
      <c r="F69">
        <v>75693</v>
      </c>
      <c r="G69">
        <v>24415</v>
      </c>
    </row>
    <row r="70" spans="1:13" x14ac:dyDescent="0.2">
      <c r="A70">
        <v>1766</v>
      </c>
      <c r="B70">
        <v>89337</v>
      </c>
      <c r="C70">
        <v>20224</v>
      </c>
      <c r="D70">
        <v>8047</v>
      </c>
      <c r="E70">
        <v>5850</v>
      </c>
      <c r="F70">
        <v>29174</v>
      </c>
      <c r="G70">
        <v>26042</v>
      </c>
    </row>
    <row r="71" spans="1:13" x14ac:dyDescent="0.2">
      <c r="A71">
        <v>1767</v>
      </c>
      <c r="B71">
        <v>39115</v>
      </c>
      <c r="C71">
        <v>9580</v>
      </c>
      <c r="D71">
        <v>2036</v>
      </c>
      <c r="F71">
        <v>2426</v>
      </c>
      <c r="G71">
        <v>25073</v>
      </c>
    </row>
    <row r="72" spans="1:13" x14ac:dyDescent="0.2">
      <c r="A72">
        <v>1768</v>
      </c>
      <c r="B72">
        <v>122524</v>
      </c>
      <c r="C72">
        <v>31544</v>
      </c>
      <c r="D72">
        <v>6953</v>
      </c>
      <c r="E72">
        <v>18905</v>
      </c>
      <c r="F72">
        <v>39268</v>
      </c>
      <c r="G72">
        <v>25854</v>
      </c>
    </row>
    <row r="73" spans="1:13" x14ac:dyDescent="0.2">
      <c r="A73">
        <v>1769</v>
      </c>
      <c r="B73">
        <v>101957</v>
      </c>
      <c r="C73">
        <v>36993</v>
      </c>
      <c r="D73">
        <v>2703</v>
      </c>
      <c r="E73">
        <v>5941</v>
      </c>
      <c r="F73">
        <v>33384</v>
      </c>
      <c r="G73">
        <v>22936</v>
      </c>
    </row>
    <row r="74" spans="1:13" x14ac:dyDescent="0.2">
      <c r="A74">
        <v>1770</v>
      </c>
      <c r="B74" s="30">
        <f>+(B73+B75)/2</f>
        <v>88125.5</v>
      </c>
    </row>
    <row r="75" spans="1:13" x14ac:dyDescent="0.2">
      <c r="A75">
        <v>1771</v>
      </c>
      <c r="B75">
        <v>74294</v>
      </c>
      <c r="C75">
        <v>26376</v>
      </c>
      <c r="E75">
        <v>237</v>
      </c>
      <c r="F75">
        <v>18574</v>
      </c>
      <c r="G75">
        <v>27077</v>
      </c>
      <c r="H75">
        <v>130</v>
      </c>
      <c r="J75">
        <v>138</v>
      </c>
      <c r="K75">
        <v>1088</v>
      </c>
      <c r="L75">
        <v>651</v>
      </c>
      <c r="M75">
        <v>23</v>
      </c>
    </row>
    <row r="76" spans="1:13" x14ac:dyDescent="0.2">
      <c r="A76">
        <v>1772</v>
      </c>
      <c r="B76">
        <v>69094</v>
      </c>
      <c r="C76">
        <v>16745</v>
      </c>
      <c r="F76">
        <v>20472</v>
      </c>
      <c r="G76">
        <v>26982</v>
      </c>
      <c r="H76">
        <v>332</v>
      </c>
      <c r="J76">
        <v>1268</v>
      </c>
      <c r="K76">
        <v>2267</v>
      </c>
      <c r="L76">
        <v>998</v>
      </c>
      <c r="M76">
        <v>30</v>
      </c>
    </row>
    <row r="77" spans="1:13" x14ac:dyDescent="0.2">
      <c r="A77">
        <v>1773</v>
      </c>
      <c r="B77">
        <v>72240</v>
      </c>
      <c r="C77">
        <v>30223</v>
      </c>
      <c r="E77">
        <v>81</v>
      </c>
      <c r="F77">
        <v>27752</v>
      </c>
      <c r="G77">
        <v>4919</v>
      </c>
      <c r="H77">
        <v>71</v>
      </c>
      <c r="J77">
        <v>4452</v>
      </c>
      <c r="K77">
        <v>3705</v>
      </c>
      <c r="L77">
        <v>996</v>
      </c>
      <c r="M77">
        <v>41</v>
      </c>
    </row>
    <row r="78" spans="1:13" x14ac:dyDescent="0.2">
      <c r="A78">
        <v>1774</v>
      </c>
      <c r="B78" s="30">
        <f>+(B77+B79)/2</f>
        <v>75787</v>
      </c>
    </row>
    <row r="79" spans="1:13" x14ac:dyDescent="0.2">
      <c r="A79">
        <v>1775</v>
      </c>
      <c r="B79">
        <v>79334</v>
      </c>
      <c r="C79">
        <v>30737</v>
      </c>
      <c r="E79">
        <v>396</v>
      </c>
      <c r="F79">
        <v>15814</v>
      </c>
      <c r="G79">
        <v>29162</v>
      </c>
      <c r="H79">
        <v>262</v>
      </c>
      <c r="J79">
        <v>485</v>
      </c>
      <c r="K79">
        <v>2029</v>
      </c>
      <c r="L79">
        <v>426</v>
      </c>
      <c r="M79">
        <v>23</v>
      </c>
    </row>
    <row r="80" spans="1:13" x14ac:dyDescent="0.2">
      <c r="A80">
        <v>1776</v>
      </c>
      <c r="B80">
        <v>73536</v>
      </c>
      <c r="C80">
        <v>31612</v>
      </c>
      <c r="F80">
        <v>15547</v>
      </c>
      <c r="G80">
        <v>22254</v>
      </c>
      <c r="H80">
        <v>366</v>
      </c>
      <c r="J80">
        <v>597</v>
      </c>
      <c r="K80">
        <v>2360</v>
      </c>
      <c r="L80">
        <v>756</v>
      </c>
      <c r="M80">
        <v>44</v>
      </c>
    </row>
    <row r="81" spans="1:2" x14ac:dyDescent="0.2">
      <c r="A81">
        <f>+A80+1</f>
        <v>1777</v>
      </c>
      <c r="B81" s="30">
        <v>70000</v>
      </c>
    </row>
    <row r="82" spans="1:2" x14ac:dyDescent="0.2">
      <c r="A82">
        <f t="shared" ref="A82:A101" si="1">+A81+1</f>
        <v>1778</v>
      </c>
      <c r="B82" s="30">
        <v>70000</v>
      </c>
    </row>
    <row r="83" spans="1:2" x14ac:dyDescent="0.2">
      <c r="A83">
        <f t="shared" si="1"/>
        <v>1779</v>
      </c>
      <c r="B83" s="30">
        <v>70000</v>
      </c>
    </row>
    <row r="84" spans="1:2" x14ac:dyDescent="0.2">
      <c r="A84">
        <f t="shared" si="1"/>
        <v>1780</v>
      </c>
      <c r="B84" s="30">
        <v>70000</v>
      </c>
    </row>
    <row r="85" spans="1:2" x14ac:dyDescent="0.2">
      <c r="A85">
        <f t="shared" si="1"/>
        <v>1781</v>
      </c>
      <c r="B85" s="30">
        <v>70000</v>
      </c>
    </row>
    <row r="86" spans="1:2" x14ac:dyDescent="0.2">
      <c r="A86">
        <f t="shared" si="1"/>
        <v>1782</v>
      </c>
      <c r="B86" s="30">
        <v>70000</v>
      </c>
    </row>
    <row r="87" spans="1:2" x14ac:dyDescent="0.2">
      <c r="A87">
        <f t="shared" si="1"/>
        <v>1783</v>
      </c>
      <c r="B87" s="30">
        <v>70000</v>
      </c>
    </row>
    <row r="88" spans="1:2" x14ac:dyDescent="0.2">
      <c r="A88">
        <f t="shared" si="1"/>
        <v>1784</v>
      </c>
      <c r="B88" s="30">
        <v>70000</v>
      </c>
    </row>
    <row r="89" spans="1:2" x14ac:dyDescent="0.2">
      <c r="A89">
        <f t="shared" si="1"/>
        <v>1785</v>
      </c>
      <c r="B89" s="30">
        <v>70000</v>
      </c>
    </row>
    <row r="90" spans="1:2" x14ac:dyDescent="0.2">
      <c r="A90">
        <f t="shared" si="1"/>
        <v>1786</v>
      </c>
      <c r="B90" s="30">
        <v>70000</v>
      </c>
    </row>
    <row r="91" spans="1:2" x14ac:dyDescent="0.2">
      <c r="A91">
        <f t="shared" si="1"/>
        <v>1787</v>
      </c>
      <c r="B91" s="30">
        <v>70000</v>
      </c>
    </row>
    <row r="92" spans="1:2" x14ac:dyDescent="0.2">
      <c r="A92">
        <f t="shared" si="1"/>
        <v>1788</v>
      </c>
      <c r="B92" s="30">
        <v>70000</v>
      </c>
    </row>
    <row r="93" spans="1:2" x14ac:dyDescent="0.2">
      <c r="A93">
        <f t="shared" si="1"/>
        <v>1789</v>
      </c>
      <c r="B93" s="30">
        <v>70000</v>
      </c>
    </row>
    <row r="94" spans="1:2" x14ac:dyDescent="0.2">
      <c r="A94">
        <f t="shared" si="1"/>
        <v>1790</v>
      </c>
      <c r="B94" s="30">
        <v>70000</v>
      </c>
    </row>
    <row r="95" spans="1:2" x14ac:dyDescent="0.2">
      <c r="A95">
        <f t="shared" si="1"/>
        <v>1791</v>
      </c>
      <c r="B95" s="30">
        <v>70000</v>
      </c>
    </row>
    <row r="96" spans="1:2" x14ac:dyDescent="0.2">
      <c r="A96">
        <f t="shared" si="1"/>
        <v>1792</v>
      </c>
      <c r="B96" s="30">
        <v>70000</v>
      </c>
    </row>
    <row r="97" spans="1:2" x14ac:dyDescent="0.2">
      <c r="A97">
        <f t="shared" si="1"/>
        <v>1793</v>
      </c>
      <c r="B97" s="30">
        <v>70000</v>
      </c>
    </row>
    <row r="98" spans="1:2" x14ac:dyDescent="0.2">
      <c r="A98">
        <f t="shared" si="1"/>
        <v>1794</v>
      </c>
      <c r="B98" s="30">
        <v>70000</v>
      </c>
    </row>
    <row r="99" spans="1:2" x14ac:dyDescent="0.2">
      <c r="A99">
        <f t="shared" si="1"/>
        <v>1795</v>
      </c>
      <c r="B99" s="30">
        <v>70000</v>
      </c>
    </row>
    <row r="100" spans="1:2" x14ac:dyDescent="0.2">
      <c r="A100">
        <f t="shared" si="1"/>
        <v>1796</v>
      </c>
    </row>
    <row r="101" spans="1:2" x14ac:dyDescent="0.2">
      <c r="A101">
        <f t="shared" si="1"/>
        <v>1797</v>
      </c>
    </row>
    <row r="102" spans="1:2" x14ac:dyDescent="0.2">
      <c r="A102" t="s">
        <v>19</v>
      </c>
    </row>
    <row r="103" spans="1:2" x14ac:dyDescent="0.2">
      <c r="A103" s="1" t="s">
        <v>16</v>
      </c>
    </row>
    <row r="104" spans="1:2" x14ac:dyDescent="0.2">
      <c r="A104" s="3" t="s">
        <v>17</v>
      </c>
    </row>
    <row r="105" spans="1:2" x14ac:dyDescent="0.2">
      <c r="A105" s="4" t="s">
        <v>18</v>
      </c>
    </row>
  </sheetData>
  <phoneticPr fontId="5"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7"/>
  <sheetViews>
    <sheetView topLeftCell="A74" workbookViewId="0">
      <selection activeCell="A103" sqref="A103"/>
    </sheetView>
  </sheetViews>
  <sheetFormatPr defaultRowHeight="12.75" x14ac:dyDescent="0.2"/>
  <cols>
    <col min="13" max="13" width="9.140625" customWidth="1"/>
  </cols>
  <sheetData>
    <row r="1" spans="1:20" x14ac:dyDescent="0.2">
      <c r="A1" s="27" t="s">
        <v>370</v>
      </c>
      <c r="G1" t="s">
        <v>171</v>
      </c>
      <c r="K1" t="s">
        <v>174</v>
      </c>
      <c r="L1" t="s">
        <v>174</v>
      </c>
      <c r="O1" t="s">
        <v>176</v>
      </c>
      <c r="Q1" t="s">
        <v>247</v>
      </c>
    </row>
    <row r="2" spans="1:20" x14ac:dyDescent="0.2">
      <c r="B2" t="s">
        <v>20</v>
      </c>
      <c r="C2" t="s">
        <v>21</v>
      </c>
      <c r="D2" t="s">
        <v>15</v>
      </c>
      <c r="H2" t="s">
        <v>172</v>
      </c>
      <c r="I2" t="s">
        <v>173</v>
      </c>
      <c r="M2" t="s">
        <v>333</v>
      </c>
      <c r="N2" t="s">
        <v>334</v>
      </c>
      <c r="O2" t="s">
        <v>245</v>
      </c>
      <c r="P2" t="s">
        <v>246</v>
      </c>
      <c r="Q2" t="s">
        <v>160</v>
      </c>
      <c r="R2" t="s">
        <v>161</v>
      </c>
    </row>
    <row r="3" spans="1:20" s="2" customFormat="1" x14ac:dyDescent="0.2">
      <c r="A3" s="2">
        <v>1701</v>
      </c>
      <c r="B3" s="28">
        <f t="shared" ref="B3:B25" si="0">H3*$M$37</f>
        <v>48305.337892711417</v>
      </c>
      <c r="C3" s="28">
        <f t="shared" ref="C3:C25" si="1">I3*$N$37</f>
        <v>56601.010397644735</v>
      </c>
      <c r="D3" s="29"/>
      <c r="E3" s="2" t="s">
        <v>175</v>
      </c>
      <c r="G3" s="2">
        <v>1701</v>
      </c>
      <c r="H3" s="2">
        <v>9704</v>
      </c>
      <c r="I3" s="2">
        <v>53126</v>
      </c>
      <c r="O3" s="2">
        <v>20</v>
      </c>
      <c r="P3" s="2">
        <v>60</v>
      </c>
      <c r="Q3" s="53">
        <f>+O3*0.05/8</f>
        <v>0.125</v>
      </c>
      <c r="R3" s="53">
        <f>+P3*0.05/42</f>
        <v>7.1428571428571425E-2</v>
      </c>
    </row>
    <row r="4" spans="1:20" s="2" customFormat="1" x14ac:dyDescent="0.2">
      <c r="A4" s="2">
        <v>1702</v>
      </c>
      <c r="B4" s="28">
        <f t="shared" si="0"/>
        <v>58151.582570347775</v>
      </c>
      <c r="C4" s="28">
        <f t="shared" si="1"/>
        <v>66114.062798363215</v>
      </c>
      <c r="D4" s="29"/>
      <c r="E4" s="2" t="s">
        <v>175</v>
      </c>
      <c r="G4" s="2">
        <v>1702</v>
      </c>
      <c r="H4" s="2">
        <v>11682</v>
      </c>
      <c r="I4" s="2">
        <v>62055</v>
      </c>
      <c r="O4" s="2">
        <v>20</v>
      </c>
      <c r="P4" s="2">
        <v>60</v>
      </c>
      <c r="Q4" s="53">
        <f t="shared" ref="Q4:Q67" si="2">+O4*0.05/8</f>
        <v>0.125</v>
      </c>
      <c r="R4" s="53">
        <f t="shared" ref="R4:R67" si="3">+P4*0.05/42</f>
        <v>7.1428571428571425E-2</v>
      </c>
    </row>
    <row r="5" spans="1:20" s="2" customFormat="1" x14ac:dyDescent="0.2">
      <c r="A5" s="2">
        <v>1703</v>
      </c>
      <c r="B5" s="28">
        <f t="shared" si="0"/>
        <v>62487.315186233151</v>
      </c>
      <c r="C5" s="28">
        <f t="shared" si="1"/>
        <v>73745.599851375475</v>
      </c>
      <c r="D5" s="29"/>
      <c r="E5" s="2" t="s">
        <v>175</v>
      </c>
      <c r="G5" s="2">
        <v>1703</v>
      </c>
      <c r="H5" s="2">
        <v>12553</v>
      </c>
      <c r="I5" s="2">
        <v>69218</v>
      </c>
      <c r="O5" s="2">
        <v>20</v>
      </c>
      <c r="P5" s="2">
        <v>60</v>
      </c>
      <c r="Q5" s="53">
        <f t="shared" si="2"/>
        <v>0.125</v>
      </c>
      <c r="R5" s="53">
        <f t="shared" si="3"/>
        <v>7.1428571428571425E-2</v>
      </c>
    </row>
    <row r="6" spans="1:20" s="2" customFormat="1" x14ac:dyDescent="0.2">
      <c r="A6" s="2">
        <v>1704</v>
      </c>
      <c r="B6" s="28">
        <f t="shared" si="0"/>
        <v>56031.006112980191</v>
      </c>
      <c r="C6" s="28">
        <f t="shared" si="1"/>
        <v>71584.946892627893</v>
      </c>
      <c r="D6" s="29"/>
      <c r="E6" s="2" t="s">
        <v>175</v>
      </c>
      <c r="G6" s="2">
        <v>1704</v>
      </c>
      <c r="H6" s="2">
        <v>11256</v>
      </c>
      <c r="I6" s="2">
        <v>67190</v>
      </c>
      <c r="O6" s="2">
        <v>20</v>
      </c>
      <c r="P6" s="2">
        <v>60</v>
      </c>
      <c r="Q6" s="53">
        <f t="shared" si="2"/>
        <v>0.125</v>
      </c>
      <c r="R6" s="53">
        <f t="shared" si="3"/>
        <v>7.1428571428571425E-2</v>
      </c>
    </row>
    <row r="7" spans="1:20" s="2" customFormat="1" x14ac:dyDescent="0.2">
      <c r="A7" s="2">
        <v>1705</v>
      </c>
      <c r="B7" s="28">
        <f t="shared" si="0"/>
        <v>59555.344450577024</v>
      </c>
      <c r="C7" s="28">
        <f t="shared" si="1"/>
        <v>8141.8687922825184</v>
      </c>
      <c r="D7" s="29"/>
      <c r="E7" s="2" t="s">
        <v>175</v>
      </c>
      <c r="G7" s="2">
        <v>1705</v>
      </c>
      <c r="H7" s="2">
        <v>11964</v>
      </c>
      <c r="I7" s="2">
        <v>7642</v>
      </c>
      <c r="O7" s="2">
        <v>20</v>
      </c>
      <c r="P7" s="2">
        <v>60</v>
      </c>
      <c r="Q7" s="53">
        <f t="shared" si="2"/>
        <v>0.125</v>
      </c>
      <c r="R7" s="53">
        <f t="shared" si="3"/>
        <v>7.1428571428571425E-2</v>
      </c>
    </row>
    <row r="8" spans="1:20" s="2" customFormat="1" x14ac:dyDescent="0.2">
      <c r="A8" s="2">
        <v>1706</v>
      </c>
      <c r="B8" s="28">
        <f t="shared" si="0"/>
        <v>58470.166826853703</v>
      </c>
      <c r="C8" s="28">
        <f t="shared" si="1"/>
        <v>74027.933694604319</v>
      </c>
      <c r="D8" s="29"/>
      <c r="E8" s="2" t="s">
        <v>175</v>
      </c>
      <c r="G8" s="2">
        <v>1706</v>
      </c>
      <c r="H8" s="2">
        <v>11746</v>
      </c>
      <c r="I8" s="2">
        <v>69483</v>
      </c>
      <c r="O8" s="2">
        <v>14</v>
      </c>
      <c r="P8" s="2">
        <v>140</v>
      </c>
      <c r="Q8" s="53">
        <f t="shared" si="2"/>
        <v>8.7500000000000008E-2</v>
      </c>
      <c r="R8" s="53">
        <f t="shared" si="3"/>
        <v>0.16666666666666666</v>
      </c>
      <c r="T8" s="24"/>
    </row>
    <row r="9" spans="1:20" s="2" customFormat="1" x14ac:dyDescent="0.2">
      <c r="A9" s="2">
        <v>1707</v>
      </c>
      <c r="B9" s="28">
        <f t="shared" si="0"/>
        <v>63074.70490916595</v>
      </c>
      <c r="C9" s="28">
        <f t="shared" si="1"/>
        <v>84501.986573030052</v>
      </c>
      <c r="D9" s="29"/>
      <c r="E9" s="2" t="s">
        <v>175</v>
      </c>
      <c r="G9" s="2">
        <v>1707</v>
      </c>
      <c r="H9" s="2">
        <v>12671</v>
      </c>
      <c r="I9" s="2">
        <v>79314</v>
      </c>
      <c r="O9" s="2">
        <v>14</v>
      </c>
      <c r="P9" s="2">
        <v>140</v>
      </c>
      <c r="Q9" s="53">
        <f t="shared" si="2"/>
        <v>8.7500000000000008E-2</v>
      </c>
      <c r="R9" s="53">
        <f t="shared" si="3"/>
        <v>0.16666666666666666</v>
      </c>
      <c r="T9" s="24"/>
    </row>
    <row r="10" spans="1:20" s="2" customFormat="1" x14ac:dyDescent="0.2">
      <c r="A10" s="2">
        <v>1708</v>
      </c>
      <c r="B10" s="28">
        <f t="shared" si="0"/>
        <v>71283.227393201523</v>
      </c>
      <c r="C10" s="28">
        <f t="shared" si="1"/>
        <v>95410.727028955298</v>
      </c>
      <c r="D10" s="29"/>
      <c r="E10" s="2" t="s">
        <v>175</v>
      </c>
      <c r="G10" s="2">
        <v>1708</v>
      </c>
      <c r="H10" s="2">
        <v>14320</v>
      </c>
      <c r="I10" s="2">
        <v>89553</v>
      </c>
      <c r="O10" s="2">
        <v>13</v>
      </c>
      <c r="P10" s="2">
        <v>140</v>
      </c>
      <c r="Q10" s="53">
        <f t="shared" si="2"/>
        <v>8.1250000000000003E-2</v>
      </c>
      <c r="R10" s="53">
        <f t="shared" si="3"/>
        <v>0.16666666666666666</v>
      </c>
      <c r="T10" s="24"/>
    </row>
    <row r="11" spans="1:20" s="2" customFormat="1" x14ac:dyDescent="0.2">
      <c r="A11" s="2">
        <v>1709</v>
      </c>
      <c r="B11" s="28">
        <f t="shared" si="0"/>
        <v>97332.468241569091</v>
      </c>
      <c r="C11" s="28">
        <f t="shared" si="1"/>
        <v>137403.89091901228</v>
      </c>
      <c r="D11" s="29"/>
      <c r="E11" s="2" t="s">
        <v>175</v>
      </c>
      <c r="G11" s="2">
        <v>1709</v>
      </c>
      <c r="H11" s="2">
        <v>19553</v>
      </c>
      <c r="I11" s="2">
        <v>128968</v>
      </c>
      <c r="O11" s="2">
        <v>13</v>
      </c>
      <c r="P11" s="2">
        <v>140</v>
      </c>
      <c r="Q11" s="53">
        <f t="shared" si="2"/>
        <v>8.1250000000000003E-2</v>
      </c>
      <c r="R11" s="53">
        <f t="shared" si="3"/>
        <v>0.16666666666666666</v>
      </c>
      <c r="T11" s="24"/>
    </row>
    <row r="12" spans="1:20" s="2" customFormat="1" x14ac:dyDescent="0.2">
      <c r="A12" s="2">
        <v>1710</v>
      </c>
      <c r="B12" s="28">
        <f t="shared" si="0"/>
        <v>99955.810478735089</v>
      </c>
      <c r="C12" s="28">
        <f t="shared" si="1"/>
        <v>140240.01428005076</v>
      </c>
      <c r="D12" s="29"/>
      <c r="E12" s="2" t="s">
        <v>175</v>
      </c>
      <c r="G12" s="2">
        <v>1710</v>
      </c>
      <c r="H12" s="2">
        <v>20080</v>
      </c>
      <c r="I12" s="2">
        <v>131630</v>
      </c>
      <c r="O12" s="2">
        <v>13</v>
      </c>
      <c r="P12" s="2">
        <v>140</v>
      </c>
      <c r="Q12" s="53">
        <f t="shared" si="2"/>
        <v>8.1250000000000003E-2</v>
      </c>
      <c r="R12" s="53">
        <f t="shared" si="3"/>
        <v>0.16666666666666666</v>
      </c>
      <c r="T12" s="24"/>
    </row>
    <row r="13" spans="1:20" s="2" customFormat="1" x14ac:dyDescent="0.2">
      <c r="A13" s="2">
        <v>1711</v>
      </c>
      <c r="B13" s="28">
        <f t="shared" si="0"/>
        <v>103256.1442609762</v>
      </c>
      <c r="C13" s="28">
        <f t="shared" si="1"/>
        <v>123860.38972986082</v>
      </c>
      <c r="D13" s="29"/>
      <c r="E13" s="2" t="s">
        <v>175</v>
      </c>
      <c r="G13" s="2">
        <v>1711</v>
      </c>
      <c r="H13" s="2">
        <v>20743</v>
      </c>
      <c r="I13" s="2">
        <v>116256</v>
      </c>
      <c r="O13" s="2">
        <v>13</v>
      </c>
      <c r="P13" s="2">
        <v>140</v>
      </c>
      <c r="Q13" s="53">
        <f t="shared" si="2"/>
        <v>8.1250000000000003E-2</v>
      </c>
      <c r="R13" s="53">
        <f t="shared" si="3"/>
        <v>0.16666666666666666</v>
      </c>
      <c r="T13" s="24"/>
    </row>
    <row r="14" spans="1:20" s="2" customFormat="1" x14ac:dyDescent="0.2">
      <c r="A14" s="2">
        <v>1712</v>
      </c>
      <c r="B14" s="28">
        <f t="shared" si="0"/>
        <v>87033.23657421337</v>
      </c>
      <c r="C14" s="28">
        <f t="shared" si="1"/>
        <v>128851.83899600105</v>
      </c>
      <c r="D14" s="29"/>
      <c r="E14" s="2" t="s">
        <v>175</v>
      </c>
      <c r="G14" s="2">
        <v>1712</v>
      </c>
      <c r="H14" s="2">
        <v>17484</v>
      </c>
      <c r="I14" s="2">
        <v>120941</v>
      </c>
      <c r="O14" s="2">
        <v>13</v>
      </c>
      <c r="P14" s="2">
        <v>140</v>
      </c>
      <c r="Q14" s="53">
        <f t="shared" si="2"/>
        <v>8.1250000000000003E-2</v>
      </c>
      <c r="R14" s="53">
        <f t="shared" si="3"/>
        <v>0.16666666666666666</v>
      </c>
      <c r="T14" s="24"/>
    </row>
    <row r="15" spans="1:20" s="2" customFormat="1" x14ac:dyDescent="0.2">
      <c r="A15" s="2">
        <v>1713</v>
      </c>
      <c r="B15" s="28">
        <f t="shared" si="0"/>
        <v>87406.577499806255</v>
      </c>
      <c r="C15" s="28">
        <f t="shared" si="1"/>
        <v>128616.38322485548</v>
      </c>
      <c r="D15" s="29"/>
      <c r="E15" s="2" t="s">
        <v>175</v>
      </c>
      <c r="G15" s="2">
        <v>1713</v>
      </c>
      <c r="H15" s="2">
        <v>17559</v>
      </c>
      <c r="I15" s="2">
        <v>120720</v>
      </c>
      <c r="O15" s="2">
        <v>13</v>
      </c>
      <c r="P15" s="2">
        <v>140</v>
      </c>
      <c r="Q15" s="53">
        <f t="shared" si="2"/>
        <v>8.1250000000000003E-2</v>
      </c>
      <c r="R15" s="53">
        <f t="shared" si="3"/>
        <v>0.16666666666666666</v>
      </c>
      <c r="T15" s="24"/>
    </row>
    <row r="16" spans="1:20" s="2" customFormat="1" x14ac:dyDescent="0.2">
      <c r="A16" s="2">
        <v>1714</v>
      </c>
      <c r="B16" s="28">
        <f t="shared" si="0"/>
        <v>82418.742733885301</v>
      </c>
      <c r="C16" s="28">
        <f t="shared" si="1"/>
        <v>128070.89293152276</v>
      </c>
      <c r="D16" s="29"/>
      <c r="E16" s="2" t="s">
        <v>175</v>
      </c>
      <c r="G16" s="2">
        <v>1714</v>
      </c>
      <c r="H16" s="2">
        <v>16557</v>
      </c>
      <c r="I16" s="2">
        <v>120208</v>
      </c>
      <c r="O16" s="2">
        <v>13</v>
      </c>
      <c r="P16" s="2">
        <v>140</v>
      </c>
      <c r="Q16" s="53">
        <f t="shared" si="2"/>
        <v>8.1250000000000003E-2</v>
      </c>
      <c r="R16" s="53">
        <f t="shared" si="3"/>
        <v>0.16666666666666666</v>
      </c>
      <c r="T16" s="24"/>
    </row>
    <row r="17" spans="1:20" s="2" customFormat="1" x14ac:dyDescent="0.2">
      <c r="A17" s="2">
        <v>1715</v>
      </c>
      <c r="B17" s="28">
        <f t="shared" si="0"/>
        <v>75091.304834248949</v>
      </c>
      <c r="C17" s="28">
        <f t="shared" si="1"/>
        <v>104017.11489915395</v>
      </c>
      <c r="D17" s="29"/>
      <c r="E17" s="2" t="s">
        <v>175</v>
      </c>
      <c r="G17" s="2">
        <v>1715</v>
      </c>
      <c r="H17" s="2">
        <v>15085</v>
      </c>
      <c r="I17" s="2">
        <v>97631</v>
      </c>
      <c r="O17" s="2">
        <v>16</v>
      </c>
      <c r="P17" s="2">
        <v>114</v>
      </c>
      <c r="Q17" s="53">
        <f t="shared" si="2"/>
        <v>0.1</v>
      </c>
      <c r="R17" s="53">
        <f t="shared" si="3"/>
        <v>0.13571428571428573</v>
      </c>
      <c r="T17" s="24"/>
    </row>
    <row r="18" spans="1:20" s="2" customFormat="1" x14ac:dyDescent="0.2">
      <c r="A18" s="2">
        <v>1716</v>
      </c>
      <c r="B18" s="28">
        <f t="shared" si="0"/>
        <v>82508.344556027601</v>
      </c>
      <c r="C18" s="28">
        <f t="shared" si="1"/>
        <v>83974.608262093141</v>
      </c>
      <c r="D18" s="29"/>
      <c r="E18" s="2" t="s">
        <v>175</v>
      </c>
      <c r="G18" s="2">
        <v>1716</v>
      </c>
      <c r="H18" s="2">
        <v>16575</v>
      </c>
      <c r="I18" s="2">
        <v>78819</v>
      </c>
      <c r="O18" s="2">
        <v>16</v>
      </c>
      <c r="P18" s="2">
        <v>114</v>
      </c>
      <c r="Q18" s="53">
        <f t="shared" si="2"/>
        <v>0.1</v>
      </c>
      <c r="R18" s="53">
        <f t="shared" si="3"/>
        <v>0.13571428571428573</v>
      </c>
      <c r="T18" s="24"/>
    </row>
    <row r="19" spans="1:20" s="2" customFormat="1" x14ac:dyDescent="0.2">
      <c r="A19" s="2">
        <v>1717</v>
      </c>
      <c r="B19" s="28">
        <f t="shared" si="0"/>
        <v>76151.593062932734</v>
      </c>
      <c r="C19" s="28">
        <f t="shared" si="1"/>
        <v>66268.54735409221</v>
      </c>
      <c r="D19" s="29"/>
      <c r="E19" s="2" t="s">
        <v>175</v>
      </c>
      <c r="G19" s="2">
        <v>1717</v>
      </c>
      <c r="H19" s="2">
        <v>15298</v>
      </c>
      <c r="I19" s="2">
        <v>62200</v>
      </c>
      <c r="O19" s="2">
        <v>16</v>
      </c>
      <c r="P19" s="2">
        <v>114</v>
      </c>
      <c r="Q19" s="53">
        <f t="shared" si="2"/>
        <v>0.1</v>
      </c>
      <c r="R19" s="53">
        <f t="shared" si="3"/>
        <v>0.13571428571428573</v>
      </c>
      <c r="T19" s="24"/>
    </row>
    <row r="20" spans="1:20" s="2" customFormat="1" x14ac:dyDescent="0.2">
      <c r="A20" s="2">
        <v>1718</v>
      </c>
      <c r="B20" s="28">
        <f t="shared" si="0"/>
        <v>80651.595686078988</v>
      </c>
      <c r="C20" s="28">
        <f t="shared" si="1"/>
        <v>68592.208154402091</v>
      </c>
      <c r="D20" s="29"/>
      <c r="E20" s="2" t="s">
        <v>175</v>
      </c>
      <c r="G20" s="2">
        <v>1718</v>
      </c>
      <c r="H20" s="2">
        <v>16202</v>
      </c>
      <c r="I20" s="2">
        <v>64381</v>
      </c>
      <c r="O20" s="2">
        <v>24</v>
      </c>
      <c r="P20" s="2">
        <v>160</v>
      </c>
      <c r="Q20" s="53">
        <f t="shared" si="2"/>
        <v>0.15000000000000002</v>
      </c>
      <c r="R20" s="53">
        <f t="shared" si="3"/>
        <v>0.19047619047619047</v>
      </c>
      <c r="T20" s="24"/>
    </row>
    <row r="21" spans="1:20" s="2" customFormat="1" x14ac:dyDescent="0.2">
      <c r="A21" s="2">
        <v>1719</v>
      </c>
      <c r="B21" s="28">
        <f t="shared" si="0"/>
        <v>78784.891058114561</v>
      </c>
      <c r="C21" s="28">
        <f t="shared" si="1"/>
        <v>71345.22947856567</v>
      </c>
      <c r="D21" s="29"/>
      <c r="E21" s="2" t="s">
        <v>175</v>
      </c>
      <c r="G21" s="2">
        <v>1719</v>
      </c>
      <c r="H21" s="2">
        <v>15827</v>
      </c>
      <c r="I21" s="2">
        <v>66965</v>
      </c>
      <c r="O21" s="2">
        <v>24</v>
      </c>
      <c r="P21" s="2">
        <v>160</v>
      </c>
      <c r="Q21" s="53">
        <f t="shared" si="2"/>
        <v>0.15000000000000002</v>
      </c>
      <c r="R21" s="53">
        <f t="shared" si="3"/>
        <v>0.19047619047619047</v>
      </c>
      <c r="T21" s="24"/>
    </row>
    <row r="22" spans="1:20" s="2" customFormat="1" x14ac:dyDescent="0.2">
      <c r="A22" s="2">
        <v>1720</v>
      </c>
      <c r="B22" s="28">
        <f t="shared" si="0"/>
        <v>80950.268426553288</v>
      </c>
      <c r="C22" s="28">
        <f t="shared" si="1"/>
        <v>71493.321569919673</v>
      </c>
      <c r="D22" s="29"/>
      <c r="E22" s="2" t="s">
        <v>175</v>
      </c>
      <c r="G22" s="2">
        <v>1720</v>
      </c>
      <c r="H22" s="2">
        <v>16262</v>
      </c>
      <c r="I22" s="2">
        <v>67104</v>
      </c>
      <c r="O22" s="2">
        <v>24</v>
      </c>
      <c r="P22" s="2">
        <v>160</v>
      </c>
      <c r="Q22" s="53">
        <f t="shared" si="2"/>
        <v>0.15000000000000002</v>
      </c>
      <c r="R22" s="53">
        <f t="shared" si="3"/>
        <v>0.19047619047619047</v>
      </c>
      <c r="T22" s="24"/>
    </row>
    <row r="23" spans="1:20" s="2" customFormat="1" x14ac:dyDescent="0.2">
      <c r="A23" s="2">
        <v>1721</v>
      </c>
      <c r="B23" s="28">
        <f t="shared" si="0"/>
        <v>81099.604796790445</v>
      </c>
      <c r="C23" s="28">
        <f t="shared" si="1"/>
        <v>72586.432978043435</v>
      </c>
      <c r="D23" s="29"/>
      <c r="E23" s="2" t="s">
        <v>175</v>
      </c>
      <c r="G23" s="2">
        <v>1721</v>
      </c>
      <c r="H23" s="2">
        <v>16292</v>
      </c>
      <c r="I23" s="2">
        <v>68130</v>
      </c>
      <c r="O23" s="2">
        <v>24</v>
      </c>
      <c r="P23" s="2">
        <v>160</v>
      </c>
      <c r="Q23" s="53">
        <f t="shared" si="2"/>
        <v>0.15000000000000002</v>
      </c>
      <c r="R23" s="53">
        <f t="shared" si="3"/>
        <v>0.19047619047619047</v>
      </c>
      <c r="T23" s="24"/>
    </row>
    <row r="24" spans="1:20" s="2" customFormat="1" x14ac:dyDescent="0.2">
      <c r="A24" s="2">
        <v>1722</v>
      </c>
      <c r="B24" s="28">
        <f t="shared" si="0"/>
        <v>76340.752465233134</v>
      </c>
      <c r="C24" s="28">
        <f t="shared" si="1"/>
        <v>70948.896687316112</v>
      </c>
      <c r="D24" s="29"/>
      <c r="E24" s="2" t="s">
        <v>175</v>
      </c>
      <c r="G24" s="2">
        <v>1722</v>
      </c>
      <c r="H24" s="2">
        <v>15336</v>
      </c>
      <c r="I24" s="2">
        <v>66593</v>
      </c>
      <c r="O24" s="2">
        <v>24</v>
      </c>
      <c r="P24" s="2">
        <v>160</v>
      </c>
      <c r="Q24" s="53">
        <f t="shared" si="2"/>
        <v>0.15000000000000002</v>
      </c>
      <c r="R24" s="53">
        <f t="shared" si="3"/>
        <v>0.19047619047619047</v>
      </c>
      <c r="T24" s="24"/>
    </row>
    <row r="25" spans="1:20" s="2" customFormat="1" x14ac:dyDescent="0.2">
      <c r="A25" s="2">
        <v>1723</v>
      </c>
      <c r="B25" s="28">
        <f t="shared" si="0"/>
        <v>108955.81572502757</v>
      </c>
      <c r="C25" s="28">
        <f t="shared" si="1"/>
        <v>94647.892946872817</v>
      </c>
      <c r="D25" s="29"/>
      <c r="E25" s="2" t="s">
        <v>175</v>
      </c>
      <c r="G25" s="2">
        <v>1723</v>
      </c>
      <c r="H25" s="2">
        <v>21888</v>
      </c>
      <c r="I25" s="2">
        <v>88837</v>
      </c>
      <c r="O25" s="2">
        <v>22</v>
      </c>
      <c r="P25" s="2">
        <v>150</v>
      </c>
      <c r="Q25" s="53">
        <f t="shared" si="2"/>
        <v>0.13750000000000001</v>
      </c>
      <c r="R25" s="53">
        <f t="shared" si="3"/>
        <v>0.17857142857142858</v>
      </c>
      <c r="T25" s="24"/>
    </row>
    <row r="26" spans="1:20" s="2" customFormat="1" x14ac:dyDescent="0.2">
      <c r="A26" s="2">
        <v>1724</v>
      </c>
      <c r="B26" s="28">
        <f>H26*$M$37</f>
        <v>95595.188467810192</v>
      </c>
      <c r="C26" s="28">
        <f>I26*$N$37</f>
        <v>92820.713546354033</v>
      </c>
      <c r="D26" s="29"/>
      <c r="E26" s="2" t="s">
        <v>175</v>
      </c>
      <c r="G26" s="2">
        <v>1724</v>
      </c>
      <c r="H26" s="2">
        <v>19204</v>
      </c>
      <c r="I26" s="2">
        <v>87122</v>
      </c>
      <c r="K26" s="2" t="s">
        <v>172</v>
      </c>
      <c r="L26" s="2" t="s">
        <v>173</v>
      </c>
      <c r="O26" s="2">
        <v>17.5</v>
      </c>
      <c r="P26" s="2">
        <v>120</v>
      </c>
      <c r="Q26" s="53">
        <f t="shared" si="2"/>
        <v>0.109375</v>
      </c>
      <c r="R26" s="53">
        <f t="shared" si="3"/>
        <v>0.14285714285714285</v>
      </c>
      <c r="T26" s="24"/>
    </row>
    <row r="27" spans="1:20" x14ac:dyDescent="0.2">
      <c r="A27">
        <v>1725</v>
      </c>
      <c r="B27">
        <v>117922</v>
      </c>
      <c r="C27">
        <v>64994</v>
      </c>
      <c r="D27">
        <f>SUM(B27:C27)</f>
        <v>182916</v>
      </c>
      <c r="G27">
        <v>1725</v>
      </c>
      <c r="H27">
        <v>20779</v>
      </c>
      <c r="I27">
        <v>90429</v>
      </c>
      <c r="K27" s="41">
        <f>B27/H27</f>
        <v>5.6750565474758172</v>
      </c>
      <c r="L27" s="41">
        <f>C27/I27</f>
        <v>0.7187296110760929</v>
      </c>
      <c r="O27">
        <v>16</v>
      </c>
      <c r="P27">
        <v>120</v>
      </c>
      <c r="Q27" s="53">
        <f t="shared" si="2"/>
        <v>0.1</v>
      </c>
      <c r="R27" s="53">
        <f t="shared" si="3"/>
        <v>0.14285714285714285</v>
      </c>
      <c r="T27" s="24"/>
    </row>
    <row r="28" spans="1:20" x14ac:dyDescent="0.2">
      <c r="A28">
        <v>1726</v>
      </c>
      <c r="B28">
        <v>84743</v>
      </c>
      <c r="C28">
        <v>141388</v>
      </c>
      <c r="D28">
        <f t="shared" ref="D28:D78" si="4">SUM(B28:C28)</f>
        <v>226131</v>
      </c>
      <c r="G28">
        <v>1726</v>
      </c>
      <c r="H28">
        <v>19637</v>
      </c>
      <c r="I28">
        <v>90372</v>
      </c>
      <c r="K28" s="41">
        <f t="shared" ref="K28:K78" si="5">B28/H28</f>
        <v>4.3154758873555021</v>
      </c>
      <c r="L28" s="41">
        <f t="shared" ref="L28:L78" si="6">C28/I28</f>
        <v>1.5645111317664764</v>
      </c>
      <c r="O28">
        <v>15</v>
      </c>
      <c r="P28">
        <v>114</v>
      </c>
      <c r="Q28" s="53">
        <f t="shared" si="2"/>
        <v>9.375E-2</v>
      </c>
      <c r="R28" s="53">
        <f t="shared" si="3"/>
        <v>0.13571428571428573</v>
      </c>
      <c r="T28" s="24"/>
    </row>
    <row r="29" spans="1:20" x14ac:dyDescent="0.2">
      <c r="A29">
        <v>1727</v>
      </c>
      <c r="B29">
        <v>106611</v>
      </c>
      <c r="C29">
        <v>148409</v>
      </c>
      <c r="D29">
        <f t="shared" si="4"/>
        <v>255020</v>
      </c>
      <c r="G29">
        <v>1727</v>
      </c>
      <c r="H29">
        <v>19966</v>
      </c>
      <c r="I29">
        <v>93818</v>
      </c>
      <c r="K29" s="41">
        <f t="shared" si="5"/>
        <v>5.3396273665230893</v>
      </c>
      <c r="L29" s="41">
        <f t="shared" si="6"/>
        <v>1.5818819416316698</v>
      </c>
      <c r="O29">
        <v>16</v>
      </c>
      <c r="P29">
        <v>114</v>
      </c>
      <c r="Q29" s="53">
        <f t="shared" si="2"/>
        <v>0.1</v>
      </c>
      <c r="R29" s="53">
        <f t="shared" si="3"/>
        <v>0.13571428571428573</v>
      </c>
      <c r="T29" s="24"/>
    </row>
    <row r="30" spans="1:20" x14ac:dyDescent="0.2">
      <c r="A30">
        <v>1728</v>
      </c>
      <c r="B30">
        <v>103895</v>
      </c>
      <c r="C30">
        <v>153887</v>
      </c>
      <c r="D30">
        <f t="shared" si="4"/>
        <v>257782</v>
      </c>
      <c r="G30">
        <v>1728</v>
      </c>
      <c r="H30">
        <v>21083</v>
      </c>
      <c r="I30">
        <v>97570</v>
      </c>
      <c r="K30" s="41">
        <f t="shared" si="5"/>
        <v>4.9279039984821891</v>
      </c>
      <c r="L30" s="41">
        <f t="shared" si="6"/>
        <v>1.5771958593830071</v>
      </c>
      <c r="O30">
        <v>12</v>
      </c>
      <c r="P30">
        <v>77.8</v>
      </c>
      <c r="Q30" s="53">
        <f t="shared" si="2"/>
        <v>7.5000000000000011E-2</v>
      </c>
      <c r="R30" s="53">
        <f t="shared" si="3"/>
        <v>9.2619047619047629E-2</v>
      </c>
      <c r="T30" s="24"/>
    </row>
    <row r="31" spans="1:20" x14ac:dyDescent="0.2">
      <c r="A31">
        <v>1729</v>
      </c>
      <c r="B31">
        <v>96126</v>
      </c>
      <c r="C31">
        <v>118442</v>
      </c>
      <c r="D31">
        <f t="shared" si="4"/>
        <v>214568</v>
      </c>
      <c r="G31">
        <v>1729</v>
      </c>
      <c r="H31">
        <v>19033</v>
      </c>
      <c r="I31">
        <v>92178</v>
      </c>
      <c r="K31" s="41">
        <f t="shared" si="5"/>
        <v>5.050491252035938</v>
      </c>
      <c r="L31" s="41">
        <f t="shared" si="6"/>
        <v>1.2849269890863331</v>
      </c>
      <c r="O31">
        <v>11</v>
      </c>
      <c r="P31">
        <v>84</v>
      </c>
      <c r="Q31" s="53">
        <f t="shared" si="2"/>
        <v>6.8750000000000006E-2</v>
      </c>
      <c r="R31" s="53">
        <f t="shared" si="3"/>
        <v>0.1</v>
      </c>
      <c r="T31" s="24"/>
    </row>
    <row r="32" spans="1:20" x14ac:dyDescent="0.2">
      <c r="A32">
        <v>1730</v>
      </c>
      <c r="B32">
        <v>102378</v>
      </c>
      <c r="C32">
        <v>95097</v>
      </c>
      <c r="D32">
        <f t="shared" si="4"/>
        <v>197475</v>
      </c>
      <c r="G32">
        <v>1730</v>
      </c>
      <c r="H32">
        <v>22107</v>
      </c>
      <c r="I32">
        <v>116822</v>
      </c>
      <c r="K32" s="41">
        <f t="shared" si="5"/>
        <v>4.631021848283349</v>
      </c>
      <c r="L32" s="41">
        <f t="shared" si="6"/>
        <v>0.81403331564260162</v>
      </c>
      <c r="O32">
        <v>11</v>
      </c>
      <c r="P32">
        <v>84</v>
      </c>
      <c r="Q32" s="53">
        <f t="shared" si="2"/>
        <v>6.8750000000000006E-2</v>
      </c>
      <c r="R32" s="53">
        <f t="shared" si="3"/>
        <v>0.1</v>
      </c>
      <c r="T32" s="24"/>
    </row>
    <row r="33" spans="1:20" x14ac:dyDescent="0.2">
      <c r="A33">
        <v>1731</v>
      </c>
      <c r="B33">
        <v>108455</v>
      </c>
      <c r="C33">
        <v>128795</v>
      </c>
      <c r="D33">
        <f t="shared" si="4"/>
        <v>237250</v>
      </c>
      <c r="G33">
        <v>1731</v>
      </c>
      <c r="H33">
        <v>24141</v>
      </c>
      <c r="I33">
        <v>123972</v>
      </c>
      <c r="K33" s="41">
        <f t="shared" si="5"/>
        <v>4.4925645167971497</v>
      </c>
      <c r="L33" s="41">
        <f t="shared" si="6"/>
        <v>1.0389039460523344</v>
      </c>
      <c r="O33">
        <v>11</v>
      </c>
      <c r="P33">
        <v>84</v>
      </c>
      <c r="Q33" s="53">
        <f t="shared" si="2"/>
        <v>6.8750000000000006E-2</v>
      </c>
      <c r="R33" s="53">
        <f t="shared" si="3"/>
        <v>0.1</v>
      </c>
      <c r="T33" s="24"/>
    </row>
    <row r="34" spans="1:20" x14ac:dyDescent="0.2">
      <c r="A34">
        <v>1732</v>
      </c>
      <c r="B34">
        <v>145050</v>
      </c>
      <c r="C34">
        <v>114161</v>
      </c>
      <c r="D34">
        <f t="shared" si="4"/>
        <v>259211</v>
      </c>
      <c r="G34">
        <v>1732</v>
      </c>
      <c r="H34">
        <v>25982</v>
      </c>
      <c r="I34">
        <v>129117</v>
      </c>
      <c r="K34" s="41">
        <f t="shared" si="5"/>
        <v>5.5827111076899394</v>
      </c>
      <c r="L34" s="41">
        <f t="shared" si="6"/>
        <v>0.88416707327462685</v>
      </c>
      <c r="O34">
        <v>11</v>
      </c>
      <c r="P34">
        <v>84</v>
      </c>
      <c r="Q34" s="53">
        <f t="shared" si="2"/>
        <v>6.8750000000000006E-2</v>
      </c>
      <c r="R34" s="53">
        <f t="shared" si="3"/>
        <v>0.1</v>
      </c>
      <c r="T34" s="24"/>
    </row>
    <row r="35" spans="1:20" x14ac:dyDescent="0.2">
      <c r="A35">
        <v>1733</v>
      </c>
      <c r="B35">
        <v>131515</v>
      </c>
      <c r="C35">
        <v>90371</v>
      </c>
      <c r="D35">
        <f t="shared" si="4"/>
        <v>221886</v>
      </c>
      <c r="G35">
        <v>1733</v>
      </c>
      <c r="H35">
        <v>26824</v>
      </c>
      <c r="I35">
        <v>135014</v>
      </c>
      <c r="K35" s="41">
        <f t="shared" si="5"/>
        <v>4.9028854756934086</v>
      </c>
      <c r="L35" s="41">
        <f t="shared" si="6"/>
        <v>0.66934540121765151</v>
      </c>
      <c r="O35">
        <v>11</v>
      </c>
      <c r="P35">
        <v>84</v>
      </c>
      <c r="Q35" s="53">
        <f t="shared" si="2"/>
        <v>6.8750000000000006E-2</v>
      </c>
      <c r="R35" s="53">
        <f t="shared" si="3"/>
        <v>0.1</v>
      </c>
      <c r="T35" s="24"/>
    </row>
    <row r="36" spans="1:20" x14ac:dyDescent="0.2">
      <c r="A36">
        <v>1734</v>
      </c>
      <c r="B36">
        <v>149392</v>
      </c>
      <c r="C36">
        <v>112362</v>
      </c>
      <c r="D36">
        <f t="shared" si="4"/>
        <v>261754</v>
      </c>
      <c r="G36">
        <v>1734</v>
      </c>
      <c r="H36">
        <v>29226</v>
      </c>
      <c r="I36">
        <v>139315</v>
      </c>
      <c r="K36" s="41">
        <f t="shared" si="5"/>
        <v>5.1116129473756242</v>
      </c>
      <c r="L36" s="41">
        <f t="shared" si="6"/>
        <v>0.80653195994688298</v>
      </c>
      <c r="O36">
        <v>11</v>
      </c>
      <c r="P36">
        <v>84</v>
      </c>
      <c r="Q36" s="53">
        <f t="shared" si="2"/>
        <v>6.8750000000000006E-2</v>
      </c>
      <c r="R36" s="53">
        <f t="shared" si="3"/>
        <v>0.1</v>
      </c>
      <c r="T36" s="24"/>
    </row>
    <row r="37" spans="1:20" x14ac:dyDescent="0.2">
      <c r="A37">
        <v>1735</v>
      </c>
      <c r="B37">
        <v>151416</v>
      </c>
      <c r="C37">
        <v>114343</v>
      </c>
      <c r="D37">
        <f t="shared" si="4"/>
        <v>265759</v>
      </c>
      <c r="G37">
        <v>1735</v>
      </c>
      <c r="H37">
        <v>32030</v>
      </c>
      <c r="I37">
        <v>146727</v>
      </c>
      <c r="K37" s="41">
        <f t="shared" si="5"/>
        <v>4.7273181392444581</v>
      </c>
      <c r="L37" s="41">
        <f t="shared" si="6"/>
        <v>0.77929079174248772</v>
      </c>
      <c r="M37">
        <f>AVERAGE(K27:K37)</f>
        <v>4.977879007905134</v>
      </c>
      <c r="N37">
        <f>AVERAGE(L27:L37)</f>
        <v>1.0654107291654695</v>
      </c>
      <c r="O37">
        <v>11</v>
      </c>
      <c r="P37">
        <v>84</v>
      </c>
      <c r="Q37" s="53">
        <f t="shared" si="2"/>
        <v>6.8750000000000006E-2</v>
      </c>
      <c r="R37" s="53">
        <f t="shared" si="3"/>
        <v>0.1</v>
      </c>
      <c r="T37" s="24"/>
    </row>
    <row r="38" spans="1:20" x14ac:dyDescent="0.2">
      <c r="A38">
        <v>1736</v>
      </c>
      <c r="B38">
        <v>155662</v>
      </c>
      <c r="C38">
        <v>110245</v>
      </c>
      <c r="D38">
        <f t="shared" si="4"/>
        <v>265907</v>
      </c>
      <c r="G38">
        <v>1736</v>
      </c>
      <c r="H38">
        <v>32473</v>
      </c>
      <c r="I38">
        <v>144081</v>
      </c>
      <c r="K38" s="41">
        <f t="shared" si="5"/>
        <v>4.7935823607304533</v>
      </c>
      <c r="L38" s="41">
        <f t="shared" si="6"/>
        <v>0.76515987534789454</v>
      </c>
      <c r="O38">
        <v>11</v>
      </c>
      <c r="P38">
        <v>84</v>
      </c>
      <c r="Q38" s="53">
        <f t="shared" si="2"/>
        <v>6.8750000000000006E-2</v>
      </c>
      <c r="R38" s="53">
        <f t="shared" si="3"/>
        <v>0.1</v>
      </c>
      <c r="T38" s="24"/>
    </row>
    <row r="39" spans="1:20" x14ac:dyDescent="0.2">
      <c r="A39">
        <v>1737</v>
      </c>
      <c r="B39">
        <v>181940</v>
      </c>
      <c r="C39">
        <v>97879</v>
      </c>
      <c r="D39">
        <f t="shared" si="4"/>
        <v>279819</v>
      </c>
      <c r="G39">
        <v>1737</v>
      </c>
      <c r="H39">
        <v>33332</v>
      </c>
      <c r="I39">
        <v>142892</v>
      </c>
      <c r="K39" s="41">
        <f t="shared" si="5"/>
        <v>5.4584183367334695</v>
      </c>
      <c r="L39" s="41">
        <f t="shared" si="6"/>
        <v>0.68498586344931833</v>
      </c>
      <c r="O39">
        <v>11</v>
      </c>
      <c r="P39">
        <v>84</v>
      </c>
      <c r="Q39" s="53">
        <f t="shared" si="2"/>
        <v>6.8750000000000006E-2</v>
      </c>
      <c r="R39" s="53">
        <f t="shared" si="3"/>
        <v>0.1</v>
      </c>
      <c r="T39" s="24"/>
    </row>
    <row r="40" spans="1:20" x14ac:dyDescent="0.2">
      <c r="A40">
        <v>1738</v>
      </c>
      <c r="B40">
        <v>241190</v>
      </c>
      <c r="C40">
        <v>117059</v>
      </c>
      <c r="D40">
        <f t="shared" si="4"/>
        <v>358249</v>
      </c>
      <c r="G40">
        <v>1738</v>
      </c>
      <c r="H40">
        <v>33876</v>
      </c>
      <c r="I40">
        <v>151075</v>
      </c>
      <c r="K40" s="41">
        <f t="shared" si="5"/>
        <v>7.11978982170268</v>
      </c>
      <c r="L40" s="41">
        <f t="shared" si="6"/>
        <v>0.7748403111037564</v>
      </c>
      <c r="O40">
        <v>11</v>
      </c>
      <c r="P40">
        <v>84</v>
      </c>
      <c r="Q40" s="53">
        <f t="shared" si="2"/>
        <v>6.8750000000000006E-2</v>
      </c>
      <c r="R40" s="53">
        <f t="shared" si="3"/>
        <v>0.1</v>
      </c>
      <c r="T40" s="24"/>
    </row>
    <row r="41" spans="1:20" x14ac:dyDescent="0.2">
      <c r="A41">
        <v>1739</v>
      </c>
      <c r="B41">
        <v>200090</v>
      </c>
      <c r="C41">
        <v>128948</v>
      </c>
      <c r="D41">
        <f t="shared" si="4"/>
        <v>329038</v>
      </c>
      <c r="G41">
        <v>1739</v>
      </c>
      <c r="H41">
        <v>31146</v>
      </c>
      <c r="I41">
        <v>143397</v>
      </c>
      <c r="K41" s="41">
        <f t="shared" si="5"/>
        <v>6.4242599370705706</v>
      </c>
      <c r="L41" s="41">
        <f t="shared" si="6"/>
        <v>0.89923778042776348</v>
      </c>
      <c r="O41">
        <v>11</v>
      </c>
      <c r="P41">
        <v>84</v>
      </c>
      <c r="Q41" s="53">
        <f t="shared" si="2"/>
        <v>6.8750000000000006E-2</v>
      </c>
      <c r="R41" s="53">
        <f t="shared" si="3"/>
        <v>0.1</v>
      </c>
      <c r="T41" s="24"/>
    </row>
    <row r="42" spans="1:20" x14ac:dyDescent="0.2">
      <c r="A42">
        <v>1740</v>
      </c>
      <c r="B42">
        <v>195165</v>
      </c>
      <c r="C42">
        <v>144880</v>
      </c>
      <c r="D42">
        <f t="shared" si="4"/>
        <v>340045</v>
      </c>
      <c r="G42">
        <v>1740</v>
      </c>
      <c r="H42">
        <v>32598</v>
      </c>
      <c r="I42">
        <v>158745</v>
      </c>
      <c r="K42" s="41">
        <f t="shared" si="5"/>
        <v>5.9870237437879625</v>
      </c>
      <c r="L42" s="41">
        <f t="shared" si="6"/>
        <v>0.91265866641469018</v>
      </c>
      <c r="O42">
        <v>11</v>
      </c>
      <c r="P42">
        <v>84</v>
      </c>
      <c r="Q42" s="53">
        <f t="shared" si="2"/>
        <v>6.8750000000000006E-2</v>
      </c>
      <c r="R42" s="53">
        <f t="shared" si="3"/>
        <v>0.1</v>
      </c>
      <c r="T42" s="24"/>
    </row>
    <row r="43" spans="1:20" x14ac:dyDescent="0.2">
      <c r="A43">
        <v>1741</v>
      </c>
      <c r="B43">
        <v>183572</v>
      </c>
      <c r="C43">
        <v>155546</v>
      </c>
      <c r="D43">
        <f t="shared" si="4"/>
        <v>339118</v>
      </c>
      <c r="G43">
        <v>1741</v>
      </c>
      <c r="H43">
        <v>32025</v>
      </c>
      <c r="I43">
        <v>152037</v>
      </c>
      <c r="K43" s="41">
        <f t="shared" si="5"/>
        <v>5.7321467603434817</v>
      </c>
      <c r="L43" s="41">
        <f t="shared" si="6"/>
        <v>1.0230799081802455</v>
      </c>
      <c r="O43">
        <v>11</v>
      </c>
      <c r="P43">
        <v>84</v>
      </c>
      <c r="Q43" s="53">
        <f t="shared" si="2"/>
        <v>6.8750000000000006E-2</v>
      </c>
      <c r="R43" s="53">
        <f t="shared" si="3"/>
        <v>0.1</v>
      </c>
      <c r="T43" s="24"/>
    </row>
    <row r="44" spans="1:20" x14ac:dyDescent="0.2">
      <c r="A44">
        <v>1742</v>
      </c>
      <c r="B44">
        <v>182711</v>
      </c>
      <c r="C44">
        <v>280786</v>
      </c>
      <c r="D44">
        <f t="shared" si="4"/>
        <v>463497</v>
      </c>
      <c r="G44">
        <v>1742</v>
      </c>
      <c r="H44">
        <v>33613</v>
      </c>
      <c r="I44" s="7">
        <v>164680</v>
      </c>
      <c r="K44" s="41">
        <f t="shared" si="5"/>
        <v>5.4357242733466222</v>
      </c>
      <c r="L44" s="41">
        <f t="shared" si="6"/>
        <v>1.7050400777264998</v>
      </c>
      <c r="O44">
        <v>5</v>
      </c>
      <c r="P44">
        <v>72</v>
      </c>
      <c r="Q44" s="53">
        <f t="shared" si="2"/>
        <v>3.125E-2</v>
      </c>
      <c r="R44" s="53">
        <f t="shared" si="3"/>
        <v>8.5714285714285715E-2</v>
      </c>
      <c r="S44" s="7"/>
      <c r="T44" s="24"/>
    </row>
    <row r="45" spans="1:20" x14ac:dyDescent="0.2">
      <c r="A45">
        <v>1743</v>
      </c>
      <c r="B45">
        <v>243732</v>
      </c>
      <c r="C45">
        <v>274773</v>
      </c>
      <c r="D45">
        <f t="shared" si="4"/>
        <v>518505</v>
      </c>
      <c r="G45">
        <v>1743</v>
      </c>
      <c r="H45">
        <v>34916</v>
      </c>
      <c r="I45">
        <v>169440</v>
      </c>
      <c r="K45" s="41">
        <f t="shared" si="5"/>
        <v>6.9805246878222018</v>
      </c>
      <c r="L45" s="41">
        <f t="shared" si="6"/>
        <v>1.6216536827195467</v>
      </c>
      <c r="O45">
        <v>5</v>
      </c>
      <c r="P45">
        <v>72</v>
      </c>
      <c r="Q45" s="53">
        <f t="shared" si="2"/>
        <v>3.125E-2</v>
      </c>
      <c r="R45" s="53">
        <f t="shared" si="3"/>
        <v>8.5714285714285715E-2</v>
      </c>
      <c r="T45" s="24"/>
    </row>
    <row r="46" spans="1:20" x14ac:dyDescent="0.2">
      <c r="A46">
        <v>1744</v>
      </c>
      <c r="B46">
        <v>298212</v>
      </c>
      <c r="C46">
        <v>323543</v>
      </c>
      <c r="D46">
        <f t="shared" si="4"/>
        <v>621755</v>
      </c>
      <c r="G46">
        <v>1744</v>
      </c>
      <c r="H46">
        <v>31901</v>
      </c>
      <c r="I46">
        <v>160950</v>
      </c>
      <c r="K46" s="41">
        <f t="shared" si="5"/>
        <v>9.348045515814551</v>
      </c>
      <c r="L46" s="41">
        <f t="shared" si="6"/>
        <v>2.0102081391736566</v>
      </c>
      <c r="O46">
        <v>5</v>
      </c>
      <c r="P46">
        <v>72</v>
      </c>
      <c r="Q46" s="53">
        <f t="shared" si="2"/>
        <v>3.125E-2</v>
      </c>
      <c r="R46" s="53">
        <f t="shared" si="3"/>
        <v>8.5714285714285715E-2</v>
      </c>
      <c r="T46" s="24"/>
    </row>
    <row r="47" spans="1:20" x14ac:dyDescent="0.2">
      <c r="A47">
        <v>1745</v>
      </c>
      <c r="B47">
        <v>344967</v>
      </c>
      <c r="C47">
        <v>278922</v>
      </c>
      <c r="D47">
        <f t="shared" si="4"/>
        <v>623889</v>
      </c>
      <c r="G47">
        <v>1745</v>
      </c>
      <c r="H47">
        <v>31641</v>
      </c>
      <c r="I47">
        <v>162305</v>
      </c>
      <c r="K47" s="41">
        <f t="shared" si="5"/>
        <v>10.902531525552289</v>
      </c>
      <c r="L47" s="41">
        <f t="shared" si="6"/>
        <v>1.7185052832629926</v>
      </c>
      <c r="O47">
        <v>5</v>
      </c>
      <c r="P47">
        <v>72</v>
      </c>
      <c r="Q47" s="53">
        <f t="shared" si="2"/>
        <v>3.125E-2</v>
      </c>
      <c r="R47" s="53">
        <f t="shared" si="3"/>
        <v>8.5714285714285715E-2</v>
      </c>
      <c r="T47" s="24"/>
    </row>
    <row r="48" spans="1:20" x14ac:dyDescent="0.2">
      <c r="A48">
        <v>1746</v>
      </c>
      <c r="B48">
        <v>375851</v>
      </c>
      <c r="C48">
        <v>259020</v>
      </c>
      <c r="D48">
        <f t="shared" si="4"/>
        <v>634871</v>
      </c>
      <c r="G48">
        <v>1746</v>
      </c>
      <c r="H48">
        <v>33733</v>
      </c>
      <c r="I48">
        <v>163559</v>
      </c>
      <c r="K48" s="41">
        <f t="shared" si="5"/>
        <v>11.141938161444283</v>
      </c>
      <c r="L48" s="41">
        <f t="shared" si="6"/>
        <v>1.5836487139197477</v>
      </c>
      <c r="O48">
        <v>5</v>
      </c>
      <c r="P48">
        <v>72</v>
      </c>
      <c r="Q48" s="53">
        <f t="shared" si="2"/>
        <v>3.125E-2</v>
      </c>
      <c r="R48" s="53">
        <f t="shared" si="3"/>
        <v>8.5714285714285715E-2</v>
      </c>
      <c r="T48" s="24"/>
    </row>
    <row r="49" spans="1:20" x14ac:dyDescent="0.2">
      <c r="A49">
        <v>1747</v>
      </c>
      <c r="B49">
        <v>311721</v>
      </c>
      <c r="C49">
        <v>219283</v>
      </c>
      <c r="D49">
        <f t="shared" si="4"/>
        <v>531004</v>
      </c>
      <c r="G49">
        <v>1747</v>
      </c>
      <c r="H49">
        <v>30740</v>
      </c>
      <c r="I49">
        <v>152605</v>
      </c>
      <c r="K49" s="41">
        <f t="shared" si="5"/>
        <v>10.14056603773585</v>
      </c>
      <c r="L49" s="41">
        <f t="shared" si="6"/>
        <v>1.4369319484944791</v>
      </c>
      <c r="O49">
        <v>14</v>
      </c>
      <c r="P49">
        <v>96</v>
      </c>
      <c r="Q49" s="53">
        <f t="shared" si="2"/>
        <v>8.7500000000000008E-2</v>
      </c>
      <c r="R49" s="53">
        <f t="shared" si="3"/>
        <v>0.1142857142857143</v>
      </c>
      <c r="T49" s="24"/>
    </row>
    <row r="50" spans="1:20" x14ac:dyDescent="0.2">
      <c r="A50">
        <v>1748</v>
      </c>
      <c r="B50">
        <v>356271</v>
      </c>
      <c r="C50">
        <v>201570</v>
      </c>
      <c r="D50">
        <f t="shared" si="4"/>
        <v>557841</v>
      </c>
      <c r="G50">
        <v>1748</v>
      </c>
      <c r="H50">
        <v>31375</v>
      </c>
      <c r="I50">
        <v>152092</v>
      </c>
      <c r="K50" s="41">
        <f t="shared" si="5"/>
        <v>11.355250996015936</v>
      </c>
      <c r="L50" s="41">
        <f t="shared" si="6"/>
        <v>1.3253162559503457</v>
      </c>
      <c r="O50">
        <v>7</v>
      </c>
      <c r="P50">
        <v>90</v>
      </c>
      <c r="Q50" s="53">
        <f t="shared" si="2"/>
        <v>4.3750000000000004E-2</v>
      </c>
      <c r="R50" s="53">
        <f t="shared" si="3"/>
        <v>0.10714285714285714</v>
      </c>
      <c r="T50" s="24"/>
    </row>
    <row r="51" spans="1:20" x14ac:dyDescent="0.2">
      <c r="A51">
        <v>1749</v>
      </c>
      <c r="B51">
        <v>296262</v>
      </c>
      <c r="C51">
        <v>157403</v>
      </c>
      <c r="D51">
        <f t="shared" si="4"/>
        <v>453665</v>
      </c>
      <c r="G51">
        <v>1749</v>
      </c>
      <c r="H51">
        <v>31773</v>
      </c>
      <c r="I51">
        <v>158349</v>
      </c>
      <c r="K51" s="41">
        <f t="shared" si="5"/>
        <v>9.324331979983004</v>
      </c>
      <c r="L51" s="41">
        <f t="shared" si="6"/>
        <v>0.9940258542838919</v>
      </c>
      <c r="O51">
        <v>11</v>
      </c>
      <c r="P51">
        <v>96</v>
      </c>
      <c r="Q51" s="53">
        <f t="shared" si="2"/>
        <v>6.8750000000000006E-2</v>
      </c>
      <c r="R51" s="53">
        <f t="shared" si="3"/>
        <v>0.1142857142857143</v>
      </c>
      <c r="T51" s="24"/>
    </row>
    <row r="52" spans="1:20" x14ac:dyDescent="0.2">
      <c r="A52">
        <v>1750</v>
      </c>
      <c r="B52">
        <v>324435</v>
      </c>
      <c r="C52">
        <v>188001</v>
      </c>
      <c r="D52">
        <f t="shared" si="4"/>
        <v>512436</v>
      </c>
      <c r="G52">
        <v>1750</v>
      </c>
      <c r="H52">
        <v>33527</v>
      </c>
      <c r="I52">
        <v>165534</v>
      </c>
      <c r="K52" s="41">
        <f t="shared" si="5"/>
        <v>9.6768276314612098</v>
      </c>
      <c r="L52" s="41">
        <f t="shared" si="6"/>
        <v>1.1357243829062307</v>
      </c>
      <c r="O52">
        <v>11</v>
      </c>
      <c r="P52">
        <v>96</v>
      </c>
      <c r="Q52" s="53">
        <f t="shared" si="2"/>
        <v>6.8750000000000006E-2</v>
      </c>
      <c r="R52" s="53">
        <f t="shared" si="3"/>
        <v>0.1142857142857143</v>
      </c>
      <c r="T52" s="24"/>
    </row>
    <row r="53" spans="1:20" x14ac:dyDescent="0.2">
      <c r="A53">
        <v>1751</v>
      </c>
      <c r="B53">
        <v>311019</v>
      </c>
      <c r="C53">
        <v>189988</v>
      </c>
      <c r="D53">
        <f t="shared" si="4"/>
        <v>501007</v>
      </c>
      <c r="G53">
        <v>1751</v>
      </c>
      <c r="H53">
        <v>33250</v>
      </c>
      <c r="I53">
        <v>161344</v>
      </c>
      <c r="K53" s="41">
        <f t="shared" si="5"/>
        <v>9.3539548872180447</v>
      </c>
      <c r="L53" s="41">
        <f t="shared" si="6"/>
        <v>1.1775337167790558</v>
      </c>
      <c r="O53">
        <v>11</v>
      </c>
      <c r="P53">
        <v>96</v>
      </c>
      <c r="Q53" s="53">
        <f t="shared" si="2"/>
        <v>6.8750000000000006E-2</v>
      </c>
      <c r="R53" s="53">
        <f t="shared" si="3"/>
        <v>0.1142857142857143</v>
      </c>
      <c r="T53" s="24"/>
    </row>
    <row r="54" spans="1:20" x14ac:dyDescent="0.2">
      <c r="A54">
        <v>1752</v>
      </c>
      <c r="B54">
        <v>351129</v>
      </c>
      <c r="C54">
        <v>224575</v>
      </c>
      <c r="D54">
        <f t="shared" si="4"/>
        <v>575704</v>
      </c>
      <c r="G54">
        <v>1752</v>
      </c>
      <c r="H54">
        <v>34168</v>
      </c>
      <c r="I54">
        <v>175341</v>
      </c>
      <c r="K54" s="41">
        <f t="shared" si="5"/>
        <v>10.276545305549051</v>
      </c>
      <c r="L54" s="41">
        <f t="shared" si="6"/>
        <v>1.2807900034789352</v>
      </c>
      <c r="O54">
        <v>11</v>
      </c>
      <c r="P54">
        <v>96</v>
      </c>
      <c r="Q54" s="53">
        <f t="shared" si="2"/>
        <v>6.8750000000000006E-2</v>
      </c>
      <c r="R54" s="53">
        <f t="shared" si="3"/>
        <v>0.1142857142857143</v>
      </c>
      <c r="T54" s="24"/>
    </row>
    <row r="55" spans="1:20" x14ac:dyDescent="0.2">
      <c r="A55">
        <v>1753</v>
      </c>
      <c r="B55">
        <v>317142</v>
      </c>
      <c r="C55">
        <v>242541</v>
      </c>
      <c r="D55">
        <f t="shared" si="4"/>
        <v>559683</v>
      </c>
      <c r="G55">
        <v>1753</v>
      </c>
      <c r="H55">
        <v>36243</v>
      </c>
      <c r="I55">
        <v>191511</v>
      </c>
      <c r="K55" s="41">
        <f t="shared" si="5"/>
        <v>8.7504345666749437</v>
      </c>
      <c r="L55" s="41">
        <f t="shared" si="6"/>
        <v>1.2664598900324264</v>
      </c>
      <c r="O55">
        <v>11</v>
      </c>
      <c r="P55">
        <v>96</v>
      </c>
      <c r="Q55" s="53">
        <f t="shared" si="2"/>
        <v>6.8750000000000006E-2</v>
      </c>
      <c r="R55" s="53">
        <f t="shared" si="3"/>
        <v>0.1142857142857143</v>
      </c>
      <c r="T55" s="24"/>
    </row>
    <row r="56" spans="1:20" x14ac:dyDescent="0.2">
      <c r="A56">
        <v>1754</v>
      </c>
      <c r="B56">
        <v>330230</v>
      </c>
      <c r="C56">
        <v>331815</v>
      </c>
      <c r="D56">
        <f t="shared" si="4"/>
        <v>662045</v>
      </c>
      <c r="G56">
        <v>1754</v>
      </c>
      <c r="H56">
        <v>36224</v>
      </c>
      <c r="I56">
        <v>195189</v>
      </c>
      <c r="K56" s="41">
        <f t="shared" si="5"/>
        <v>9.1163317137809194</v>
      </c>
      <c r="L56" s="41">
        <f t="shared" si="6"/>
        <v>1.6999677235909811</v>
      </c>
      <c r="O56">
        <v>5</v>
      </c>
      <c r="P56">
        <v>72</v>
      </c>
      <c r="Q56" s="53">
        <f t="shared" si="2"/>
        <v>3.125E-2</v>
      </c>
      <c r="R56" s="53">
        <f t="shared" si="3"/>
        <v>8.5714285714285715E-2</v>
      </c>
      <c r="T56" s="24"/>
    </row>
    <row r="57" spans="1:20" x14ac:dyDescent="0.2">
      <c r="A57">
        <v>1755</v>
      </c>
      <c r="B57">
        <v>282073</v>
      </c>
      <c r="C57">
        <v>282910</v>
      </c>
      <c r="D57">
        <f t="shared" si="4"/>
        <v>564983</v>
      </c>
      <c r="G57">
        <v>1755</v>
      </c>
      <c r="H57">
        <v>37624</v>
      </c>
      <c r="I57">
        <v>205263</v>
      </c>
      <c r="K57" s="41">
        <f t="shared" si="5"/>
        <v>7.4971560705932383</v>
      </c>
      <c r="L57" s="41">
        <f t="shared" si="6"/>
        <v>1.3782805473952928</v>
      </c>
      <c r="O57">
        <v>5</v>
      </c>
      <c r="P57">
        <v>72</v>
      </c>
      <c r="Q57" s="53">
        <f t="shared" si="2"/>
        <v>3.125E-2</v>
      </c>
      <c r="R57" s="53">
        <f t="shared" si="3"/>
        <v>8.5714285714285715E-2</v>
      </c>
      <c r="T57" s="24"/>
    </row>
    <row r="58" spans="1:20" x14ac:dyDescent="0.2">
      <c r="A58">
        <v>1756</v>
      </c>
      <c r="B58">
        <v>342357</v>
      </c>
      <c r="C58">
        <v>269262</v>
      </c>
      <c r="D58">
        <f t="shared" si="4"/>
        <v>611619</v>
      </c>
      <c r="G58">
        <v>1756</v>
      </c>
      <c r="H58">
        <v>36420</v>
      </c>
      <c r="I58">
        <v>198132</v>
      </c>
      <c r="K58" s="41">
        <f t="shared" si="5"/>
        <v>9.4002471169686981</v>
      </c>
      <c r="L58" s="41">
        <f t="shared" si="6"/>
        <v>1.3590030888498577</v>
      </c>
      <c r="O58">
        <v>5</v>
      </c>
      <c r="P58">
        <v>72</v>
      </c>
      <c r="Q58" s="53">
        <f t="shared" si="2"/>
        <v>3.125E-2</v>
      </c>
      <c r="R58" s="53">
        <f t="shared" si="3"/>
        <v>8.5714285714285715E-2</v>
      </c>
      <c r="T58" s="24"/>
    </row>
    <row r="59" spans="1:20" x14ac:dyDescent="0.2">
      <c r="A59">
        <v>1757</v>
      </c>
      <c r="B59">
        <v>341825</v>
      </c>
      <c r="C59">
        <v>277830</v>
      </c>
      <c r="D59">
        <f t="shared" si="4"/>
        <v>619655</v>
      </c>
      <c r="G59">
        <v>1757</v>
      </c>
      <c r="H59">
        <v>35783</v>
      </c>
      <c r="I59">
        <v>192988</v>
      </c>
      <c r="K59" s="41">
        <f t="shared" si="5"/>
        <v>9.5527205656317253</v>
      </c>
      <c r="L59" s="41">
        <f t="shared" si="6"/>
        <v>1.4396231890065703</v>
      </c>
      <c r="O59">
        <v>5</v>
      </c>
      <c r="P59">
        <v>72</v>
      </c>
      <c r="Q59" s="53">
        <f t="shared" si="2"/>
        <v>3.125E-2</v>
      </c>
      <c r="R59" s="53">
        <f t="shared" si="3"/>
        <v>8.5714285714285715E-2</v>
      </c>
      <c r="T59" s="24"/>
    </row>
    <row r="60" spans="1:20" x14ac:dyDescent="0.2">
      <c r="A60">
        <v>1758</v>
      </c>
      <c r="B60">
        <v>354717</v>
      </c>
      <c r="C60">
        <v>297194</v>
      </c>
      <c r="D60">
        <f t="shared" si="4"/>
        <v>651911</v>
      </c>
      <c r="G60">
        <v>1758</v>
      </c>
      <c r="H60">
        <v>34586</v>
      </c>
      <c r="I60" s="9">
        <v>191812</v>
      </c>
      <c r="K60" s="41">
        <f t="shared" si="5"/>
        <v>10.256086277684613</v>
      </c>
      <c r="L60" s="41">
        <f t="shared" si="6"/>
        <v>1.5494025399870708</v>
      </c>
      <c r="O60">
        <v>5</v>
      </c>
      <c r="P60">
        <v>72</v>
      </c>
      <c r="Q60" s="53">
        <f t="shared" si="2"/>
        <v>3.125E-2</v>
      </c>
      <c r="R60" s="53">
        <f t="shared" si="3"/>
        <v>8.5714285714285715E-2</v>
      </c>
      <c r="S60" s="9"/>
      <c r="T60" s="24"/>
    </row>
    <row r="61" spans="1:20" x14ac:dyDescent="0.2">
      <c r="A61">
        <v>1759</v>
      </c>
      <c r="B61">
        <v>353363</v>
      </c>
      <c r="C61">
        <v>316809</v>
      </c>
      <c r="D61">
        <f t="shared" si="4"/>
        <v>670172</v>
      </c>
      <c r="G61">
        <v>1759</v>
      </c>
      <c r="H61">
        <v>34571</v>
      </c>
      <c r="I61">
        <v>200217</v>
      </c>
      <c r="K61" s="41">
        <f t="shared" si="5"/>
        <v>10.221370512857597</v>
      </c>
      <c r="L61" s="41">
        <f t="shared" si="6"/>
        <v>1.5823281739312847</v>
      </c>
      <c r="O61">
        <v>6</v>
      </c>
      <c r="P61">
        <v>72</v>
      </c>
      <c r="Q61" s="53">
        <f t="shared" si="2"/>
        <v>3.7500000000000006E-2</v>
      </c>
      <c r="R61" s="53">
        <f t="shared" si="3"/>
        <v>8.5714285714285715E-2</v>
      </c>
      <c r="T61" s="24"/>
    </row>
    <row r="62" spans="1:20" x14ac:dyDescent="0.2">
      <c r="A62">
        <v>1760</v>
      </c>
      <c r="B62">
        <v>304743</v>
      </c>
      <c r="C62">
        <v>393507</v>
      </c>
      <c r="D62">
        <f t="shared" si="4"/>
        <v>698250</v>
      </c>
      <c r="G62">
        <v>1760</v>
      </c>
      <c r="H62">
        <v>34282</v>
      </c>
      <c r="I62">
        <v>203635</v>
      </c>
      <c r="K62" s="41">
        <f t="shared" si="5"/>
        <v>8.8893005075549851</v>
      </c>
      <c r="L62" s="41">
        <f t="shared" si="6"/>
        <v>1.9324133866967859</v>
      </c>
      <c r="O62">
        <v>6</v>
      </c>
      <c r="P62">
        <v>72</v>
      </c>
      <c r="Q62" s="53">
        <f t="shared" si="2"/>
        <v>3.7500000000000006E-2</v>
      </c>
      <c r="R62" s="53">
        <f t="shared" si="3"/>
        <v>8.5714285714285715E-2</v>
      </c>
      <c r="T62" s="24"/>
    </row>
    <row r="63" spans="1:20" x14ac:dyDescent="0.2">
      <c r="A63">
        <v>1761</v>
      </c>
      <c r="B63">
        <v>292586</v>
      </c>
      <c r="C63">
        <v>279877</v>
      </c>
      <c r="D63">
        <f t="shared" si="4"/>
        <v>572463</v>
      </c>
      <c r="G63">
        <v>1761</v>
      </c>
      <c r="H63">
        <v>33363</v>
      </c>
      <c r="I63">
        <v>198913</v>
      </c>
      <c r="K63" s="41">
        <f t="shared" si="5"/>
        <v>8.7697749003386978</v>
      </c>
      <c r="L63" s="41">
        <f t="shared" si="6"/>
        <v>1.4070322201163323</v>
      </c>
      <c r="O63">
        <v>6</v>
      </c>
      <c r="P63">
        <v>72</v>
      </c>
      <c r="Q63" s="53">
        <f t="shared" si="2"/>
        <v>3.7500000000000006E-2</v>
      </c>
      <c r="R63" s="53">
        <f t="shared" si="3"/>
        <v>8.5714285714285715E-2</v>
      </c>
      <c r="T63" s="24"/>
    </row>
    <row r="64" spans="1:20" x14ac:dyDescent="0.2">
      <c r="A64">
        <v>1762</v>
      </c>
      <c r="B64">
        <v>310121</v>
      </c>
      <c r="C64">
        <v>288153</v>
      </c>
      <c r="D64">
        <f t="shared" si="4"/>
        <v>598274</v>
      </c>
      <c r="G64">
        <v>1762</v>
      </c>
      <c r="H64">
        <v>33575</v>
      </c>
      <c r="I64">
        <v>198512</v>
      </c>
      <c r="K64" s="41">
        <f t="shared" si="5"/>
        <v>9.2366641846612065</v>
      </c>
      <c r="L64" s="41">
        <f t="shared" si="6"/>
        <v>1.4515646409285081</v>
      </c>
      <c r="O64">
        <v>6</v>
      </c>
      <c r="P64">
        <v>72</v>
      </c>
      <c r="Q64" s="53">
        <f t="shared" si="2"/>
        <v>3.7500000000000006E-2</v>
      </c>
      <c r="R64" s="53">
        <f t="shared" si="3"/>
        <v>8.5714285714285715E-2</v>
      </c>
      <c r="T64" s="24"/>
    </row>
    <row r="65" spans="1:20" x14ac:dyDescent="0.2">
      <c r="A65">
        <v>1763</v>
      </c>
      <c r="B65">
        <v>317192</v>
      </c>
      <c r="C65">
        <v>303151</v>
      </c>
      <c r="D65">
        <f t="shared" si="4"/>
        <v>620343</v>
      </c>
      <c r="G65">
        <v>1763</v>
      </c>
      <c r="H65">
        <v>33523</v>
      </c>
      <c r="I65">
        <v>199339</v>
      </c>
      <c r="K65" s="41">
        <f t="shared" si="5"/>
        <v>9.4619216657220413</v>
      </c>
      <c r="L65" s="41">
        <f t="shared" si="6"/>
        <v>1.5207811818058683</v>
      </c>
      <c r="O65">
        <v>6</v>
      </c>
      <c r="P65">
        <v>72</v>
      </c>
      <c r="Q65" s="53">
        <f t="shared" si="2"/>
        <v>3.7500000000000006E-2</v>
      </c>
      <c r="R65" s="53">
        <f t="shared" si="3"/>
        <v>8.5714285714285715E-2</v>
      </c>
      <c r="T65" s="24"/>
    </row>
    <row r="66" spans="1:20" x14ac:dyDescent="0.2">
      <c r="A66">
        <v>1764</v>
      </c>
      <c r="B66">
        <v>365495</v>
      </c>
      <c r="C66">
        <v>338140</v>
      </c>
      <c r="D66">
        <f t="shared" si="4"/>
        <v>703635</v>
      </c>
      <c r="G66">
        <v>1764</v>
      </c>
      <c r="H66">
        <v>33424</v>
      </c>
      <c r="I66">
        <v>201052</v>
      </c>
      <c r="K66" s="41">
        <f t="shared" si="5"/>
        <v>10.935106510292005</v>
      </c>
      <c r="L66" s="41">
        <f t="shared" si="6"/>
        <v>1.6818534508485368</v>
      </c>
      <c r="O66">
        <v>8</v>
      </c>
      <c r="P66">
        <v>60</v>
      </c>
      <c r="Q66" s="53">
        <f t="shared" si="2"/>
        <v>0.05</v>
      </c>
      <c r="R66" s="53">
        <f t="shared" si="3"/>
        <v>7.1428571428571425E-2</v>
      </c>
      <c r="T66" s="24"/>
    </row>
    <row r="67" spans="1:20" x14ac:dyDescent="0.2">
      <c r="A67">
        <v>1765</v>
      </c>
      <c r="B67">
        <v>348699</v>
      </c>
      <c r="C67">
        <v>297737</v>
      </c>
      <c r="D67">
        <f t="shared" si="4"/>
        <v>646436</v>
      </c>
      <c r="G67">
        <v>1765</v>
      </c>
      <c r="H67">
        <v>33986</v>
      </c>
      <c r="I67">
        <v>204429</v>
      </c>
      <c r="K67" s="41">
        <f t="shared" si="5"/>
        <v>10.260077679044313</v>
      </c>
      <c r="L67" s="41">
        <f t="shared" si="6"/>
        <v>1.4564323065709854</v>
      </c>
      <c r="O67">
        <v>8</v>
      </c>
      <c r="P67">
        <v>60</v>
      </c>
      <c r="Q67" s="53">
        <f t="shared" si="2"/>
        <v>0.05</v>
      </c>
      <c r="R67" s="53">
        <f t="shared" si="3"/>
        <v>7.1428571428571425E-2</v>
      </c>
      <c r="T67" s="24"/>
    </row>
    <row r="68" spans="1:20" x14ac:dyDescent="0.2">
      <c r="A68">
        <v>1766</v>
      </c>
      <c r="B68">
        <v>346978</v>
      </c>
      <c r="C68">
        <v>323052</v>
      </c>
      <c r="D68">
        <f t="shared" si="4"/>
        <v>670030</v>
      </c>
      <c r="G68">
        <v>1766</v>
      </c>
      <c r="H68">
        <v>34849</v>
      </c>
      <c r="I68">
        <v>217361</v>
      </c>
      <c r="K68" s="41">
        <f t="shared" si="5"/>
        <v>9.9566128152888176</v>
      </c>
      <c r="L68" s="41">
        <f t="shared" si="6"/>
        <v>1.4862463827457548</v>
      </c>
      <c r="O68">
        <v>8</v>
      </c>
      <c r="P68">
        <v>60</v>
      </c>
      <c r="Q68" s="53">
        <f t="shared" ref="Q68:Q95" si="7">+O68*0.05/8</f>
        <v>0.05</v>
      </c>
      <c r="R68" s="53">
        <f t="shared" ref="R68:R95" si="8">+P68*0.05/42</f>
        <v>7.1428571428571425E-2</v>
      </c>
      <c r="T68" s="24"/>
    </row>
    <row r="69" spans="1:20" x14ac:dyDescent="0.2">
      <c r="A69">
        <v>1767</v>
      </c>
      <c r="B69">
        <v>335299</v>
      </c>
      <c r="C69">
        <v>304633</v>
      </c>
      <c r="D69">
        <f t="shared" si="4"/>
        <v>639932</v>
      </c>
      <c r="G69">
        <v>1767</v>
      </c>
      <c r="H69">
        <v>36160</v>
      </c>
      <c r="I69">
        <v>238992</v>
      </c>
      <c r="K69" s="41">
        <f t="shared" si="5"/>
        <v>9.2726493362831857</v>
      </c>
      <c r="L69" s="41">
        <f t="shared" si="6"/>
        <v>1.2746577291290084</v>
      </c>
      <c r="O69">
        <v>8</v>
      </c>
      <c r="P69">
        <v>60</v>
      </c>
      <c r="Q69" s="53">
        <f t="shared" si="7"/>
        <v>0.05</v>
      </c>
      <c r="R69" s="53">
        <f t="shared" si="8"/>
        <v>7.1428571428571425E-2</v>
      </c>
      <c r="T69" s="24"/>
    </row>
    <row r="70" spans="1:20" x14ac:dyDescent="0.2">
      <c r="A70">
        <v>1768</v>
      </c>
      <c r="B70">
        <v>323945</v>
      </c>
      <c r="C70">
        <v>305161</v>
      </c>
      <c r="D70">
        <f t="shared" si="4"/>
        <v>629106</v>
      </c>
      <c r="G70">
        <v>1768</v>
      </c>
      <c r="H70">
        <v>36786</v>
      </c>
      <c r="I70">
        <v>250978</v>
      </c>
      <c r="K70" s="41">
        <f t="shared" si="5"/>
        <v>8.8062034469635186</v>
      </c>
      <c r="L70" s="41">
        <f t="shared" si="6"/>
        <v>1.2158874483022417</v>
      </c>
      <c r="O70">
        <v>8</v>
      </c>
      <c r="P70">
        <v>60</v>
      </c>
      <c r="Q70" s="53">
        <f t="shared" si="7"/>
        <v>0.05</v>
      </c>
      <c r="R70" s="53">
        <f t="shared" si="8"/>
        <v>7.1428571428571425E-2</v>
      </c>
      <c r="T70" s="24"/>
    </row>
    <row r="71" spans="1:20" x14ac:dyDescent="0.2">
      <c r="A71">
        <v>1769</v>
      </c>
      <c r="B71">
        <v>342333</v>
      </c>
      <c r="C71">
        <v>321619</v>
      </c>
      <c r="D71">
        <f t="shared" si="4"/>
        <v>663952</v>
      </c>
      <c r="G71">
        <v>1769</v>
      </c>
      <c r="H71">
        <v>38012</v>
      </c>
      <c r="I71">
        <v>244558</v>
      </c>
      <c r="K71" s="41">
        <f t="shared" si="5"/>
        <v>9.005919183415763</v>
      </c>
      <c r="L71" s="41">
        <f t="shared" si="6"/>
        <v>1.3151031657112013</v>
      </c>
      <c r="O71">
        <v>5</v>
      </c>
      <c r="P71">
        <v>60</v>
      </c>
      <c r="Q71" s="53">
        <f t="shared" si="7"/>
        <v>3.125E-2</v>
      </c>
      <c r="R71" s="53">
        <f t="shared" si="8"/>
        <v>7.1428571428571425E-2</v>
      </c>
      <c r="T71" s="24"/>
    </row>
    <row r="72" spans="1:20" x14ac:dyDescent="0.2">
      <c r="A72">
        <v>1770</v>
      </c>
      <c r="B72">
        <v>350752</v>
      </c>
      <c r="C72">
        <v>345971</v>
      </c>
      <c r="D72">
        <f t="shared" si="4"/>
        <v>696723</v>
      </c>
      <c r="G72">
        <v>1770</v>
      </c>
      <c r="H72">
        <v>37357</v>
      </c>
      <c r="I72">
        <v>258250</v>
      </c>
      <c r="K72" s="41">
        <f t="shared" si="5"/>
        <v>9.3891907808442863</v>
      </c>
      <c r="L72" s="41">
        <f t="shared" si="6"/>
        <v>1.3396747337850921</v>
      </c>
      <c r="O72">
        <v>5</v>
      </c>
      <c r="P72">
        <v>60</v>
      </c>
      <c r="Q72" s="53">
        <f t="shared" si="7"/>
        <v>3.125E-2</v>
      </c>
      <c r="R72" s="53">
        <f t="shared" si="8"/>
        <v>7.1428571428571425E-2</v>
      </c>
      <c r="T72" s="24"/>
    </row>
    <row r="73" spans="1:20" x14ac:dyDescent="0.2">
      <c r="A73">
        <v>1771</v>
      </c>
      <c r="B73">
        <v>319375</v>
      </c>
      <c r="C73">
        <v>411505</v>
      </c>
      <c r="D73">
        <f t="shared" si="4"/>
        <v>730880</v>
      </c>
      <c r="G73">
        <v>1771</v>
      </c>
      <c r="H73">
        <v>37977</v>
      </c>
      <c r="I73">
        <v>264943</v>
      </c>
      <c r="K73" s="41">
        <f t="shared" si="5"/>
        <v>8.4096953419174767</v>
      </c>
      <c r="L73" s="41">
        <f t="shared" si="6"/>
        <v>1.5531831375050482</v>
      </c>
      <c r="O73">
        <v>5</v>
      </c>
      <c r="P73">
        <v>60</v>
      </c>
      <c r="Q73" s="53">
        <f t="shared" si="7"/>
        <v>3.125E-2</v>
      </c>
      <c r="R73" s="53">
        <f t="shared" si="8"/>
        <v>7.1428571428571425E-2</v>
      </c>
      <c r="T73" s="24"/>
    </row>
    <row r="74" spans="1:20" x14ac:dyDescent="0.2">
      <c r="A74">
        <v>1772</v>
      </c>
      <c r="B74">
        <v>381632</v>
      </c>
      <c r="C74">
        <v>463489</v>
      </c>
      <c r="D74">
        <f t="shared" si="4"/>
        <v>845121</v>
      </c>
      <c r="G74">
        <v>1772</v>
      </c>
      <c r="H74">
        <v>38665</v>
      </c>
      <c r="I74">
        <v>271002</v>
      </c>
      <c r="K74" s="41">
        <f t="shared" si="5"/>
        <v>9.8702185439027552</v>
      </c>
      <c r="L74" s="41">
        <f t="shared" si="6"/>
        <v>1.7102788909306943</v>
      </c>
      <c r="O74">
        <v>5</v>
      </c>
      <c r="P74">
        <v>60</v>
      </c>
      <c r="Q74" s="53">
        <f t="shared" si="7"/>
        <v>3.125E-2</v>
      </c>
      <c r="R74" s="53">
        <f t="shared" si="8"/>
        <v>7.1428571428571425E-2</v>
      </c>
      <c r="T74" s="24"/>
    </row>
    <row r="75" spans="1:20" x14ac:dyDescent="0.2">
      <c r="A75">
        <v>1773</v>
      </c>
      <c r="B75">
        <v>432239</v>
      </c>
      <c r="C75">
        <v>480746</v>
      </c>
      <c r="D75">
        <f t="shared" si="4"/>
        <v>912985</v>
      </c>
      <c r="G75">
        <v>1773</v>
      </c>
      <c r="H75">
        <v>39019</v>
      </c>
      <c r="I75">
        <v>285094</v>
      </c>
      <c r="K75" s="41">
        <f t="shared" si="5"/>
        <v>11.077654476024501</v>
      </c>
      <c r="L75" s="41">
        <f t="shared" si="6"/>
        <v>1.6862718962868388</v>
      </c>
      <c r="O75">
        <v>5</v>
      </c>
      <c r="P75">
        <v>60</v>
      </c>
      <c r="Q75" s="53">
        <f t="shared" si="7"/>
        <v>3.125E-2</v>
      </c>
      <c r="R75" s="53">
        <f t="shared" si="8"/>
        <v>7.1428571428571425E-2</v>
      </c>
      <c r="T75" s="24"/>
    </row>
    <row r="76" spans="1:20" x14ac:dyDescent="0.2">
      <c r="A76">
        <v>1774</v>
      </c>
      <c r="B76">
        <v>395826</v>
      </c>
      <c r="C76">
        <v>480059</v>
      </c>
      <c r="D76">
        <f t="shared" si="4"/>
        <v>875885</v>
      </c>
      <c r="G76">
        <v>1774</v>
      </c>
      <c r="H76" s="8">
        <v>40923</v>
      </c>
      <c r="I76">
        <v>312855</v>
      </c>
      <c r="K76" s="41">
        <f t="shared" si="5"/>
        <v>9.6724580309361485</v>
      </c>
      <c r="L76" s="41">
        <f t="shared" si="6"/>
        <v>1.534445669719199</v>
      </c>
      <c r="O76">
        <v>3</v>
      </c>
      <c r="P76">
        <v>28</v>
      </c>
      <c r="Q76" s="53">
        <f t="shared" si="7"/>
        <v>1.8750000000000003E-2</v>
      </c>
      <c r="R76" s="53">
        <f t="shared" si="8"/>
        <v>3.333333333333334E-2</v>
      </c>
      <c r="T76" s="24"/>
    </row>
    <row r="77" spans="1:20" x14ac:dyDescent="0.2">
      <c r="A77">
        <v>1775</v>
      </c>
      <c r="B77">
        <v>300839</v>
      </c>
      <c r="C77">
        <v>524086</v>
      </c>
      <c r="D77">
        <f t="shared" si="4"/>
        <v>824925</v>
      </c>
      <c r="G77">
        <v>1775</v>
      </c>
      <c r="H77">
        <v>44554</v>
      </c>
      <c r="I77">
        <v>302965</v>
      </c>
      <c r="K77" s="41">
        <f t="shared" si="5"/>
        <v>6.7522332450509497</v>
      </c>
      <c r="L77" s="41">
        <f t="shared" si="6"/>
        <v>1.7298565840938722</v>
      </c>
      <c r="O77">
        <v>3</v>
      </c>
      <c r="P77">
        <v>28</v>
      </c>
      <c r="Q77" s="53">
        <f t="shared" si="7"/>
        <v>1.8750000000000003E-2</v>
      </c>
      <c r="R77" s="53">
        <f t="shared" si="8"/>
        <v>3.333333333333334E-2</v>
      </c>
      <c r="T77" s="24"/>
    </row>
    <row r="78" spans="1:20" x14ac:dyDescent="0.2">
      <c r="A78">
        <v>1776</v>
      </c>
      <c r="B78">
        <v>152148</v>
      </c>
      <c r="C78">
        <v>703981</v>
      </c>
      <c r="D78">
        <f t="shared" si="4"/>
        <v>856129</v>
      </c>
      <c r="G78">
        <v>1776</v>
      </c>
      <c r="H78">
        <v>50711</v>
      </c>
      <c r="I78">
        <v>353639</v>
      </c>
      <c r="K78" s="41">
        <f t="shared" si="5"/>
        <v>3.0002957938119934</v>
      </c>
      <c r="L78" s="41">
        <f t="shared" si="6"/>
        <v>1.9906769332567957</v>
      </c>
      <c r="O78">
        <v>3</v>
      </c>
      <c r="P78">
        <v>28</v>
      </c>
      <c r="Q78" s="53">
        <f t="shared" si="7"/>
        <v>1.8750000000000003E-2</v>
      </c>
      <c r="R78" s="53">
        <f t="shared" si="8"/>
        <v>3.333333333333334E-2</v>
      </c>
      <c r="T78" s="24"/>
    </row>
    <row r="79" spans="1:20" x14ac:dyDescent="0.2">
      <c r="A79">
        <f>+A78+1</f>
        <v>1777</v>
      </c>
      <c r="H79">
        <v>64356</v>
      </c>
      <c r="I79">
        <v>397437</v>
      </c>
      <c r="O79">
        <v>3</v>
      </c>
      <c r="P79">
        <v>28</v>
      </c>
      <c r="Q79" s="53">
        <f t="shared" si="7"/>
        <v>1.8750000000000003E-2</v>
      </c>
      <c r="R79" s="53">
        <f t="shared" si="8"/>
        <v>3.333333333333334E-2</v>
      </c>
      <c r="T79" s="24"/>
    </row>
    <row r="80" spans="1:20" x14ac:dyDescent="0.2">
      <c r="A80">
        <f t="shared" ref="A80:A97" si="9">+A79+1</f>
        <v>1778</v>
      </c>
      <c r="H80">
        <v>61961</v>
      </c>
      <c r="I80">
        <v>376433</v>
      </c>
      <c r="O80">
        <v>3</v>
      </c>
      <c r="P80">
        <v>28</v>
      </c>
      <c r="Q80" s="53">
        <f t="shared" si="7"/>
        <v>1.8750000000000003E-2</v>
      </c>
      <c r="R80" s="53">
        <f t="shared" si="8"/>
        <v>3.333333333333334E-2</v>
      </c>
      <c r="T80" s="24"/>
    </row>
    <row r="81" spans="1:20" x14ac:dyDescent="0.2">
      <c r="A81">
        <f t="shared" si="9"/>
        <v>1779</v>
      </c>
      <c r="H81">
        <v>94957</v>
      </c>
      <c r="I81">
        <v>377814</v>
      </c>
      <c r="O81">
        <v>4</v>
      </c>
      <c r="P81">
        <v>18</v>
      </c>
      <c r="Q81" s="53">
        <f t="shared" si="7"/>
        <v>2.5000000000000001E-2</v>
      </c>
      <c r="R81" s="53">
        <f t="shared" si="8"/>
        <v>2.1428571428571429E-2</v>
      </c>
      <c r="T81" s="24"/>
    </row>
    <row r="82" spans="1:20" x14ac:dyDescent="0.2">
      <c r="A82">
        <f t="shared" si="9"/>
        <v>1780</v>
      </c>
      <c r="H82">
        <v>63635</v>
      </c>
      <c r="I82">
        <v>355659</v>
      </c>
      <c r="O82">
        <v>4</v>
      </c>
      <c r="P82">
        <v>18</v>
      </c>
      <c r="Q82" s="53">
        <f t="shared" si="7"/>
        <v>2.5000000000000001E-2</v>
      </c>
      <c r="R82" s="53">
        <f t="shared" si="8"/>
        <v>2.1428571428571429E-2</v>
      </c>
      <c r="T82" s="24"/>
    </row>
    <row r="83" spans="1:20" x14ac:dyDescent="0.2">
      <c r="A83">
        <f t="shared" si="9"/>
        <v>1781</v>
      </c>
      <c r="O83">
        <v>4</v>
      </c>
      <c r="P83">
        <v>18</v>
      </c>
      <c r="Q83" s="53">
        <f t="shared" si="7"/>
        <v>2.5000000000000001E-2</v>
      </c>
      <c r="R83" s="53">
        <f t="shared" si="8"/>
        <v>2.1428571428571429E-2</v>
      </c>
      <c r="T83" s="24"/>
    </row>
    <row r="84" spans="1:20" x14ac:dyDescent="0.2">
      <c r="A84">
        <f t="shared" si="9"/>
        <v>1782</v>
      </c>
      <c r="H84">
        <v>55828</v>
      </c>
      <c r="I84">
        <v>298959</v>
      </c>
      <c r="O84">
        <v>4</v>
      </c>
      <c r="P84">
        <v>18</v>
      </c>
      <c r="Q84" s="53">
        <f t="shared" si="7"/>
        <v>2.5000000000000001E-2</v>
      </c>
      <c r="R84" s="53">
        <f t="shared" si="8"/>
        <v>2.1428571428571429E-2</v>
      </c>
      <c r="T84" s="24"/>
    </row>
    <row r="85" spans="1:20" x14ac:dyDescent="0.2">
      <c r="A85">
        <f t="shared" si="9"/>
        <v>1783</v>
      </c>
      <c r="H85">
        <v>62762</v>
      </c>
      <c r="I85">
        <v>310904</v>
      </c>
      <c r="O85">
        <v>4</v>
      </c>
      <c r="P85">
        <v>18</v>
      </c>
      <c r="Q85" s="53">
        <f t="shared" si="7"/>
        <v>2.5000000000000001E-2</v>
      </c>
      <c r="R85" s="53">
        <f t="shared" si="8"/>
        <v>2.1428571428571429E-2</v>
      </c>
      <c r="T85" s="24"/>
    </row>
    <row r="86" spans="1:20" x14ac:dyDescent="0.2">
      <c r="A86">
        <f t="shared" si="9"/>
        <v>1784</v>
      </c>
      <c r="H86">
        <v>60243</v>
      </c>
      <c r="I86">
        <v>308429</v>
      </c>
      <c r="O86">
        <v>5.5</v>
      </c>
      <c r="P86">
        <v>24</v>
      </c>
      <c r="Q86" s="53">
        <f t="shared" si="7"/>
        <v>3.4375000000000003E-2</v>
      </c>
      <c r="R86" s="53">
        <f t="shared" si="8"/>
        <v>2.8571428571428574E-2</v>
      </c>
      <c r="T86" s="24"/>
    </row>
    <row r="87" spans="1:20" x14ac:dyDescent="0.2">
      <c r="A87">
        <f t="shared" si="9"/>
        <v>1785</v>
      </c>
      <c r="H87">
        <v>64776</v>
      </c>
      <c r="I87">
        <v>315946</v>
      </c>
      <c r="O87">
        <v>5.5</v>
      </c>
      <c r="P87">
        <v>24</v>
      </c>
      <c r="Q87" s="53">
        <f t="shared" si="7"/>
        <v>3.4375000000000003E-2</v>
      </c>
      <c r="R87" s="53">
        <f t="shared" si="8"/>
        <v>2.8571428571428574E-2</v>
      </c>
      <c r="T87" s="24"/>
    </row>
    <row r="88" spans="1:20" x14ac:dyDescent="0.2">
      <c r="A88">
        <f t="shared" si="9"/>
        <v>1786</v>
      </c>
      <c r="H88">
        <v>64015</v>
      </c>
      <c r="I88">
        <v>335023</v>
      </c>
      <c r="O88">
        <v>5.5</v>
      </c>
      <c r="P88">
        <v>24</v>
      </c>
      <c r="Q88" s="53">
        <f t="shared" si="7"/>
        <v>3.4375000000000003E-2</v>
      </c>
      <c r="R88" s="53">
        <f t="shared" si="8"/>
        <v>2.8571428571428574E-2</v>
      </c>
      <c r="T88" s="24"/>
    </row>
    <row r="89" spans="1:20" x14ac:dyDescent="0.2">
      <c r="A89">
        <f t="shared" si="9"/>
        <v>1787</v>
      </c>
      <c r="H89">
        <v>83096</v>
      </c>
      <c r="I89">
        <v>433972</v>
      </c>
      <c r="O89">
        <v>5.5</v>
      </c>
      <c r="P89">
        <v>24</v>
      </c>
      <c r="Q89" s="53">
        <f t="shared" si="7"/>
        <v>3.4375000000000003E-2</v>
      </c>
      <c r="R89" s="53">
        <f t="shared" si="8"/>
        <v>2.8571428571428574E-2</v>
      </c>
      <c r="T89" s="24"/>
    </row>
    <row r="90" spans="1:20" x14ac:dyDescent="0.2">
      <c r="A90">
        <f t="shared" si="9"/>
        <v>1788</v>
      </c>
      <c r="H90">
        <v>80921</v>
      </c>
      <c r="I90">
        <v>445557</v>
      </c>
      <c r="O90">
        <v>5.5</v>
      </c>
      <c r="P90">
        <v>24</v>
      </c>
      <c r="Q90" s="53">
        <f t="shared" si="7"/>
        <v>3.4375000000000003E-2</v>
      </c>
      <c r="R90" s="53">
        <f t="shared" si="8"/>
        <v>2.8571428571428574E-2</v>
      </c>
      <c r="T90" s="24"/>
    </row>
    <row r="91" spans="1:20" x14ac:dyDescent="0.2">
      <c r="A91">
        <f t="shared" si="9"/>
        <v>1789</v>
      </c>
      <c r="H91">
        <v>77857</v>
      </c>
      <c r="I91">
        <v>431555</v>
      </c>
      <c r="O91">
        <v>8</v>
      </c>
      <c r="P91">
        <v>42</v>
      </c>
      <c r="Q91" s="53">
        <f t="shared" si="7"/>
        <v>0.05</v>
      </c>
      <c r="R91" s="53">
        <f t="shared" si="8"/>
        <v>0.05</v>
      </c>
      <c r="T91" s="24"/>
    </row>
    <row r="92" spans="1:20" x14ac:dyDescent="0.2">
      <c r="A92">
        <f t="shared" si="9"/>
        <v>1790</v>
      </c>
      <c r="H92">
        <v>83467</v>
      </c>
      <c r="I92">
        <v>467321</v>
      </c>
      <c r="O92">
        <v>8</v>
      </c>
      <c r="P92">
        <v>42</v>
      </c>
      <c r="Q92" s="53">
        <f t="shared" si="7"/>
        <v>0.05</v>
      </c>
      <c r="R92" s="53">
        <f t="shared" si="8"/>
        <v>0.05</v>
      </c>
      <c r="T92" s="24"/>
    </row>
    <row r="93" spans="1:20" x14ac:dyDescent="0.2">
      <c r="A93">
        <f t="shared" si="9"/>
        <v>1791</v>
      </c>
      <c r="H93">
        <v>83543</v>
      </c>
      <c r="I93">
        <v>467669</v>
      </c>
      <c r="O93">
        <v>8</v>
      </c>
      <c r="P93">
        <v>42</v>
      </c>
      <c r="Q93" s="53">
        <f t="shared" si="7"/>
        <v>0.05</v>
      </c>
      <c r="R93" s="53">
        <f t="shared" si="8"/>
        <v>0.05</v>
      </c>
      <c r="T93" s="24"/>
    </row>
    <row r="94" spans="1:20" x14ac:dyDescent="0.2">
      <c r="A94">
        <f t="shared" si="9"/>
        <v>1792</v>
      </c>
      <c r="H94">
        <v>83246</v>
      </c>
      <c r="I94">
        <v>487481</v>
      </c>
      <c r="O94">
        <v>8</v>
      </c>
      <c r="P94">
        <v>42</v>
      </c>
      <c r="Q94" s="53">
        <f t="shared" si="7"/>
        <v>0.05</v>
      </c>
      <c r="R94" s="53">
        <f t="shared" si="8"/>
        <v>0.05</v>
      </c>
      <c r="T94" s="24"/>
    </row>
    <row r="95" spans="1:20" x14ac:dyDescent="0.2">
      <c r="A95">
        <f t="shared" si="9"/>
        <v>1793</v>
      </c>
      <c r="H95">
        <v>82110</v>
      </c>
      <c r="I95">
        <v>475205</v>
      </c>
      <c r="O95">
        <v>6</v>
      </c>
      <c r="P95">
        <v>33</v>
      </c>
      <c r="Q95" s="53">
        <f t="shared" si="7"/>
        <v>3.7500000000000006E-2</v>
      </c>
      <c r="R95" s="53">
        <f t="shared" si="8"/>
        <v>3.9285714285714292E-2</v>
      </c>
      <c r="T95" s="24"/>
    </row>
    <row r="96" spans="1:20" x14ac:dyDescent="0.2">
      <c r="A96">
        <f t="shared" si="9"/>
        <v>1794</v>
      </c>
      <c r="T96" s="24"/>
    </row>
    <row r="97" spans="1:9" x14ac:dyDescent="0.2">
      <c r="A97">
        <f t="shared" si="9"/>
        <v>1795</v>
      </c>
      <c r="H97">
        <v>71664</v>
      </c>
      <c r="I97">
        <v>418817</v>
      </c>
    </row>
  </sheetData>
  <phoneticPr fontId="5"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5"/>
  <sheetViews>
    <sheetView topLeftCell="A91" workbookViewId="0">
      <selection activeCell="A92" sqref="A92"/>
    </sheetView>
  </sheetViews>
  <sheetFormatPr defaultRowHeight="12.75" x14ac:dyDescent="0.2"/>
  <sheetData>
    <row r="1" spans="1:3" x14ac:dyDescent="0.2">
      <c r="A1" t="s">
        <v>22</v>
      </c>
    </row>
    <row r="2" spans="1:3" x14ac:dyDescent="0.2">
      <c r="A2" s="27" t="s">
        <v>0</v>
      </c>
      <c r="B2" s="27" t="s">
        <v>335</v>
      </c>
      <c r="C2" s="27"/>
    </row>
    <row r="3" spans="1:3" x14ac:dyDescent="0.2">
      <c r="A3">
        <v>1701</v>
      </c>
      <c r="B3">
        <v>531</v>
      </c>
    </row>
    <row r="4" spans="1:3" x14ac:dyDescent="0.2">
      <c r="A4">
        <v>1702</v>
      </c>
      <c r="B4">
        <v>586</v>
      </c>
    </row>
    <row r="5" spans="1:3" x14ac:dyDescent="0.2">
      <c r="A5">
        <v>1703</v>
      </c>
      <c r="B5" s="6" t="s">
        <v>23</v>
      </c>
    </row>
    <row r="6" spans="1:3" x14ac:dyDescent="0.2">
      <c r="A6">
        <v>1704</v>
      </c>
      <c r="B6" s="6" t="s">
        <v>23</v>
      </c>
    </row>
    <row r="7" spans="1:3" x14ac:dyDescent="0.2">
      <c r="A7">
        <v>1705</v>
      </c>
      <c r="B7">
        <v>542</v>
      </c>
    </row>
    <row r="8" spans="1:3" x14ac:dyDescent="0.2">
      <c r="A8">
        <v>1706</v>
      </c>
      <c r="B8">
        <v>531</v>
      </c>
    </row>
    <row r="9" spans="1:3" x14ac:dyDescent="0.2">
      <c r="A9">
        <v>1707</v>
      </c>
      <c r="B9">
        <v>527</v>
      </c>
    </row>
    <row r="10" spans="1:3" x14ac:dyDescent="0.2">
      <c r="A10">
        <v>1708</v>
      </c>
      <c r="B10">
        <v>513</v>
      </c>
    </row>
    <row r="11" spans="1:3" x14ac:dyDescent="0.2">
      <c r="A11">
        <v>1709</v>
      </c>
      <c r="B11">
        <v>621</v>
      </c>
    </row>
    <row r="12" spans="1:3" x14ac:dyDescent="0.2">
      <c r="A12">
        <v>1710</v>
      </c>
      <c r="B12">
        <v>640</v>
      </c>
    </row>
    <row r="13" spans="1:3" x14ac:dyDescent="0.2">
      <c r="A13">
        <v>1711</v>
      </c>
      <c r="B13">
        <v>732</v>
      </c>
    </row>
    <row r="14" spans="1:3" x14ac:dyDescent="0.2">
      <c r="A14">
        <v>1712</v>
      </c>
      <c r="B14">
        <v>632</v>
      </c>
    </row>
    <row r="15" spans="1:3" x14ac:dyDescent="0.2">
      <c r="A15">
        <v>1713</v>
      </c>
      <c r="B15">
        <v>591</v>
      </c>
    </row>
    <row r="16" spans="1:3" x14ac:dyDescent="0.2">
      <c r="A16">
        <v>1714</v>
      </c>
      <c r="B16">
        <v>654</v>
      </c>
    </row>
    <row r="17" spans="1:2" x14ac:dyDescent="0.2">
      <c r="A17">
        <v>1715</v>
      </c>
      <c r="B17">
        <v>714</v>
      </c>
    </row>
    <row r="18" spans="1:2" x14ac:dyDescent="0.2">
      <c r="A18">
        <v>1716</v>
      </c>
      <c r="B18">
        <v>711</v>
      </c>
    </row>
    <row r="19" spans="1:2" x14ac:dyDescent="0.2">
      <c r="A19">
        <v>1717</v>
      </c>
      <c r="B19">
        <v>744</v>
      </c>
    </row>
    <row r="20" spans="1:2" x14ac:dyDescent="0.2">
      <c r="A20">
        <v>1718</v>
      </c>
      <c r="B20">
        <v>756</v>
      </c>
    </row>
    <row r="21" spans="1:2" x14ac:dyDescent="0.2">
      <c r="A21">
        <v>1719</v>
      </c>
      <c r="B21">
        <v>736</v>
      </c>
    </row>
    <row r="22" spans="1:2" x14ac:dyDescent="0.2">
      <c r="A22">
        <v>1720</v>
      </c>
      <c r="B22">
        <v>800</v>
      </c>
    </row>
    <row r="23" spans="1:2" x14ac:dyDescent="0.2">
      <c r="A23">
        <v>1721</v>
      </c>
      <c r="B23">
        <v>794</v>
      </c>
    </row>
    <row r="24" spans="1:2" x14ac:dyDescent="0.2">
      <c r="A24">
        <v>1722</v>
      </c>
      <c r="B24">
        <v>831</v>
      </c>
    </row>
    <row r="25" spans="1:2" x14ac:dyDescent="0.2">
      <c r="A25">
        <v>1723</v>
      </c>
      <c r="B25">
        <v>814</v>
      </c>
    </row>
    <row r="26" spans="1:2" x14ac:dyDescent="0.2">
      <c r="A26">
        <v>1724</v>
      </c>
      <c r="B26">
        <v>829</v>
      </c>
    </row>
    <row r="27" spans="1:2" x14ac:dyDescent="0.2">
      <c r="A27">
        <v>1725</v>
      </c>
      <c r="B27">
        <v>731</v>
      </c>
    </row>
    <row r="28" spans="1:2" x14ac:dyDescent="0.2">
      <c r="A28">
        <v>1726</v>
      </c>
      <c r="B28">
        <v>787</v>
      </c>
    </row>
    <row r="29" spans="1:2" x14ac:dyDescent="0.2">
      <c r="A29">
        <v>1727</v>
      </c>
      <c r="B29">
        <v>981</v>
      </c>
    </row>
    <row r="30" spans="1:2" x14ac:dyDescent="0.2">
      <c r="A30">
        <v>1728</v>
      </c>
      <c r="B30">
        <v>941</v>
      </c>
    </row>
    <row r="31" spans="1:2" x14ac:dyDescent="0.2">
      <c r="A31">
        <v>1729</v>
      </c>
      <c r="B31">
        <v>863</v>
      </c>
    </row>
    <row r="32" spans="1:2" x14ac:dyDescent="0.2">
      <c r="A32">
        <v>1730</v>
      </c>
      <c r="B32">
        <v>920</v>
      </c>
    </row>
    <row r="33" spans="1:2" x14ac:dyDescent="0.2">
      <c r="A33">
        <v>1731</v>
      </c>
      <c r="B33">
        <v>1000</v>
      </c>
    </row>
    <row r="34" spans="1:2" x14ac:dyDescent="0.2">
      <c r="A34">
        <v>1732</v>
      </c>
      <c r="B34">
        <v>1016</v>
      </c>
    </row>
    <row r="35" spans="1:2" x14ac:dyDescent="0.2">
      <c r="A35">
        <v>1733</v>
      </c>
      <c r="B35">
        <v>877</v>
      </c>
    </row>
    <row r="36" spans="1:2" x14ac:dyDescent="0.2">
      <c r="A36">
        <v>1734</v>
      </c>
      <c r="B36">
        <v>1112</v>
      </c>
    </row>
    <row r="37" spans="1:2" x14ac:dyDescent="0.2">
      <c r="A37">
        <v>1735</v>
      </c>
      <c r="B37">
        <v>1070</v>
      </c>
    </row>
    <row r="38" spans="1:2" x14ac:dyDescent="0.2">
      <c r="A38">
        <v>1736</v>
      </c>
      <c r="B38">
        <v>1035</v>
      </c>
    </row>
    <row r="39" spans="1:2" x14ac:dyDescent="0.2">
      <c r="A39">
        <v>1737</v>
      </c>
      <c r="B39">
        <v>909</v>
      </c>
    </row>
    <row r="40" spans="1:2" x14ac:dyDescent="0.2">
      <c r="A40">
        <v>1738</v>
      </c>
      <c r="B40">
        <v>1062</v>
      </c>
    </row>
    <row r="41" spans="1:2" x14ac:dyDescent="0.2">
      <c r="A41">
        <v>1739</v>
      </c>
      <c r="B41">
        <v>981</v>
      </c>
    </row>
    <row r="42" spans="1:2" x14ac:dyDescent="0.2">
      <c r="A42">
        <v>1740</v>
      </c>
      <c r="B42">
        <v>1141</v>
      </c>
    </row>
    <row r="43" spans="1:2" x14ac:dyDescent="0.2">
      <c r="A43">
        <v>1741</v>
      </c>
      <c r="B43">
        <v>1170</v>
      </c>
    </row>
    <row r="44" spans="1:2" x14ac:dyDescent="0.2">
      <c r="A44">
        <v>1742</v>
      </c>
      <c r="B44">
        <v>1163</v>
      </c>
    </row>
    <row r="45" spans="1:2" x14ac:dyDescent="0.2">
      <c r="A45">
        <v>1743</v>
      </c>
      <c r="B45">
        <v>1050</v>
      </c>
    </row>
    <row r="46" spans="1:2" x14ac:dyDescent="0.2">
      <c r="A46">
        <v>1744</v>
      </c>
      <c r="B46">
        <v>1089</v>
      </c>
    </row>
    <row r="47" spans="1:2" x14ac:dyDescent="0.2">
      <c r="A47">
        <v>1745</v>
      </c>
      <c r="B47">
        <v>1204</v>
      </c>
    </row>
    <row r="48" spans="1:2" x14ac:dyDescent="0.2">
      <c r="A48">
        <v>1746</v>
      </c>
      <c r="B48">
        <v>1195</v>
      </c>
    </row>
    <row r="49" spans="1:2" x14ac:dyDescent="0.2">
      <c r="A49">
        <v>1747</v>
      </c>
      <c r="B49">
        <v>1318</v>
      </c>
    </row>
    <row r="50" spans="1:2" x14ac:dyDescent="0.2">
      <c r="A50">
        <v>1748</v>
      </c>
      <c r="B50">
        <v>1353</v>
      </c>
    </row>
    <row r="51" spans="1:2" x14ac:dyDescent="0.2">
      <c r="A51">
        <v>1749</v>
      </c>
      <c r="B51">
        <v>1067</v>
      </c>
    </row>
    <row r="52" spans="1:2" x14ac:dyDescent="0.2">
      <c r="A52">
        <v>1750</v>
      </c>
      <c r="B52">
        <v>1331</v>
      </c>
    </row>
    <row r="53" spans="1:2" x14ac:dyDescent="0.2">
      <c r="A53">
        <v>1751</v>
      </c>
      <c r="B53">
        <v>1334</v>
      </c>
    </row>
    <row r="54" spans="1:2" x14ac:dyDescent="0.2">
      <c r="A54">
        <v>1752</v>
      </c>
      <c r="B54">
        <v>1563</v>
      </c>
    </row>
    <row r="55" spans="1:2" x14ac:dyDescent="0.2">
      <c r="A55">
        <v>1753</v>
      </c>
      <c r="B55">
        <v>1439</v>
      </c>
    </row>
    <row r="56" spans="1:2" x14ac:dyDescent="0.2">
      <c r="A56">
        <v>1754</v>
      </c>
      <c r="B56">
        <v>1503</v>
      </c>
    </row>
    <row r="57" spans="1:2" x14ac:dyDescent="0.2">
      <c r="A57">
        <v>1755</v>
      </c>
      <c r="B57">
        <v>1492</v>
      </c>
    </row>
    <row r="58" spans="1:2" x14ac:dyDescent="0.2">
      <c r="A58">
        <v>1756</v>
      </c>
      <c r="B58">
        <v>1255</v>
      </c>
    </row>
    <row r="59" spans="1:2" x14ac:dyDescent="0.2">
      <c r="A59">
        <v>1757</v>
      </c>
      <c r="B59">
        <v>1465</v>
      </c>
    </row>
    <row r="60" spans="1:2" x14ac:dyDescent="0.2">
      <c r="A60">
        <v>1758</v>
      </c>
      <c r="B60">
        <v>1458</v>
      </c>
    </row>
    <row r="61" spans="1:2" x14ac:dyDescent="0.2">
      <c r="A61">
        <v>1759</v>
      </c>
      <c r="B61">
        <v>1375</v>
      </c>
    </row>
    <row r="62" spans="1:2" x14ac:dyDescent="0.2">
      <c r="A62">
        <v>1760</v>
      </c>
      <c r="B62">
        <v>1354</v>
      </c>
    </row>
    <row r="63" spans="1:2" x14ac:dyDescent="0.2">
      <c r="A63">
        <v>1761</v>
      </c>
      <c r="B63">
        <v>1386</v>
      </c>
    </row>
    <row r="64" spans="1:2" x14ac:dyDescent="0.2">
      <c r="A64">
        <v>1762</v>
      </c>
      <c r="B64">
        <v>1296</v>
      </c>
    </row>
    <row r="65" spans="1:2" x14ac:dyDescent="0.2">
      <c r="A65">
        <v>1763</v>
      </c>
      <c r="B65">
        <v>1340</v>
      </c>
    </row>
    <row r="66" spans="1:2" x14ac:dyDescent="0.2">
      <c r="A66">
        <v>1764</v>
      </c>
      <c r="B66">
        <v>1616</v>
      </c>
    </row>
    <row r="67" spans="1:2" x14ac:dyDescent="0.2">
      <c r="A67">
        <v>1765</v>
      </c>
      <c r="B67">
        <v>1489</v>
      </c>
    </row>
    <row r="68" spans="1:2" x14ac:dyDescent="0.2">
      <c r="A68">
        <v>1766</v>
      </c>
      <c r="B68">
        <v>1689</v>
      </c>
    </row>
    <row r="69" spans="1:2" x14ac:dyDescent="0.2">
      <c r="A69">
        <v>1767</v>
      </c>
      <c r="B69">
        <v>1554</v>
      </c>
    </row>
    <row r="70" spans="1:2" x14ac:dyDescent="0.2">
      <c r="A70">
        <v>1768</v>
      </c>
      <c r="B70">
        <v>1579</v>
      </c>
    </row>
    <row r="71" spans="1:2" x14ac:dyDescent="0.2">
      <c r="A71">
        <v>1769</v>
      </c>
      <c r="B71">
        <v>1695</v>
      </c>
    </row>
    <row r="72" spans="1:2" x14ac:dyDescent="0.2">
      <c r="A72">
        <v>1770</v>
      </c>
      <c r="B72">
        <v>1704</v>
      </c>
    </row>
    <row r="73" spans="1:2" x14ac:dyDescent="0.2">
      <c r="A73">
        <v>1771</v>
      </c>
      <c r="B73">
        <v>1800</v>
      </c>
    </row>
    <row r="74" spans="1:2" x14ac:dyDescent="0.2">
      <c r="A74">
        <v>1772</v>
      </c>
      <c r="B74">
        <v>1963</v>
      </c>
    </row>
    <row r="75" spans="1:2" x14ac:dyDescent="0.2">
      <c r="A75">
        <v>1773</v>
      </c>
      <c r="B75">
        <v>2165</v>
      </c>
    </row>
    <row r="76" spans="1:2" x14ac:dyDescent="0.2">
      <c r="A76">
        <v>1774</v>
      </c>
      <c r="B76">
        <v>2151</v>
      </c>
    </row>
    <row r="77" spans="1:2" x14ac:dyDescent="0.2">
      <c r="A77">
        <v>1775</v>
      </c>
      <c r="B77">
        <v>2019</v>
      </c>
    </row>
    <row r="78" spans="1:2" x14ac:dyDescent="0.2">
      <c r="A78">
        <v>1776</v>
      </c>
      <c r="B78">
        <v>1981</v>
      </c>
    </row>
    <row r="79" spans="1:2" x14ac:dyDescent="0.2">
      <c r="A79">
        <v>1777</v>
      </c>
      <c r="B79">
        <v>1790</v>
      </c>
    </row>
    <row r="80" spans="1:2" x14ac:dyDescent="0.2">
      <c r="A80">
        <v>1778</v>
      </c>
      <c r="B80">
        <v>1614</v>
      </c>
    </row>
    <row r="81" spans="1:2" x14ac:dyDescent="0.2">
      <c r="A81">
        <v>1779</v>
      </c>
      <c r="B81">
        <v>1656</v>
      </c>
    </row>
    <row r="82" spans="1:2" x14ac:dyDescent="0.2">
      <c r="A82">
        <v>1780</v>
      </c>
      <c r="B82">
        <v>1687</v>
      </c>
    </row>
    <row r="83" spans="1:2" x14ac:dyDescent="0.2">
      <c r="A83">
        <v>1781</v>
      </c>
      <c r="B83">
        <v>1794</v>
      </c>
    </row>
    <row r="84" spans="1:2" x14ac:dyDescent="0.2">
      <c r="A84">
        <v>1782</v>
      </c>
      <c r="B84">
        <v>2177</v>
      </c>
    </row>
    <row r="85" spans="1:2" x14ac:dyDescent="0.2">
      <c r="A85">
        <v>1783</v>
      </c>
      <c r="B85">
        <v>1918</v>
      </c>
    </row>
    <row r="86" spans="1:2" x14ac:dyDescent="0.2">
      <c r="A86">
        <v>1784</v>
      </c>
      <c r="B86">
        <v>1904</v>
      </c>
    </row>
    <row r="87" spans="1:2" x14ac:dyDescent="0.2">
      <c r="A87">
        <v>1785</v>
      </c>
      <c r="B87">
        <v>2155</v>
      </c>
    </row>
    <row r="88" spans="1:2" x14ac:dyDescent="0.2">
      <c r="A88">
        <v>1786</v>
      </c>
      <c r="B88">
        <v>2316</v>
      </c>
    </row>
    <row r="89" spans="1:2" x14ac:dyDescent="0.2">
      <c r="A89">
        <v>1787</v>
      </c>
      <c r="B89">
        <v>2913</v>
      </c>
    </row>
    <row r="90" spans="1:2" x14ac:dyDescent="0.2">
      <c r="A90">
        <v>1788</v>
      </c>
      <c r="B90">
        <v>3245</v>
      </c>
    </row>
    <row r="91" spans="1:2" x14ac:dyDescent="0.2">
      <c r="A91">
        <v>1789</v>
      </c>
      <c r="B91">
        <v>3392</v>
      </c>
    </row>
    <row r="92" spans="1:2" x14ac:dyDescent="0.2">
      <c r="A92">
        <v>1790</v>
      </c>
      <c r="B92">
        <v>3209</v>
      </c>
    </row>
    <row r="93" spans="1:2" x14ac:dyDescent="0.2">
      <c r="A93">
        <v>1791</v>
      </c>
      <c r="B93">
        <v>2890</v>
      </c>
    </row>
    <row r="94" spans="1:2" x14ac:dyDescent="0.2">
      <c r="A94">
        <v>1792</v>
      </c>
      <c r="B94">
        <v>2168</v>
      </c>
    </row>
    <row r="95" spans="1:2" x14ac:dyDescent="0.2">
      <c r="A95">
        <v>1793</v>
      </c>
      <c r="B95">
        <v>2331</v>
      </c>
    </row>
  </sheetData>
  <phoneticPr fontId="0" type="noConversion"/>
  <pageMargins left="0.75" right="0.75" top="1" bottom="1" header="0.5" footer="0.5"/>
  <pageSetup paperSize="9"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38"/>
  <sheetViews>
    <sheetView workbookViewId="0">
      <selection activeCell="A3" sqref="A3"/>
    </sheetView>
  </sheetViews>
  <sheetFormatPr defaultRowHeight="12.75" x14ac:dyDescent="0.2"/>
  <cols>
    <col min="2" max="6" width="9.28515625" bestFit="1" customWidth="1"/>
    <col min="8" max="9" width="9.28515625" bestFit="1" customWidth="1"/>
    <col min="10" max="11" width="10.7109375" bestFit="1" customWidth="1"/>
    <col min="12" max="12" width="9.28515625" bestFit="1" customWidth="1"/>
    <col min="13" max="13" width="10.5703125" bestFit="1" customWidth="1"/>
    <col min="19" max="19" width="10.5703125" bestFit="1" customWidth="1"/>
    <col min="20" max="20" width="9.5703125" bestFit="1" customWidth="1"/>
    <col min="31" max="31" width="9.5703125" bestFit="1" customWidth="1"/>
    <col min="32" max="32" width="9.5703125" customWidth="1"/>
    <col min="35" max="35" width="10.5703125" bestFit="1" customWidth="1"/>
  </cols>
  <sheetData>
    <row r="1" spans="1:50" x14ac:dyDescent="0.2">
      <c r="A1" t="s">
        <v>24</v>
      </c>
      <c r="O1" t="s">
        <v>337</v>
      </c>
      <c r="AD1" t="s">
        <v>340</v>
      </c>
      <c r="AI1" t="s">
        <v>267</v>
      </c>
    </row>
    <row r="2" spans="1:50" x14ac:dyDescent="0.2">
      <c r="A2" s="27" t="s">
        <v>336</v>
      </c>
      <c r="B2" s="27"/>
      <c r="C2" s="27"/>
      <c r="D2" s="27"/>
      <c r="E2" s="27"/>
      <c r="F2" s="27"/>
      <c r="G2" s="27"/>
      <c r="H2" s="80" t="s">
        <v>341</v>
      </c>
      <c r="I2" s="54"/>
      <c r="J2" s="54"/>
      <c r="K2" s="27"/>
      <c r="L2" s="27" t="s">
        <v>192</v>
      </c>
      <c r="M2" s="27" t="s">
        <v>193</v>
      </c>
      <c r="N2" s="27"/>
      <c r="O2" s="81" t="s">
        <v>338</v>
      </c>
      <c r="P2" s="81"/>
      <c r="Q2" s="27" t="s">
        <v>181</v>
      </c>
      <c r="R2" s="27" t="s">
        <v>33</v>
      </c>
      <c r="S2" s="27" t="s">
        <v>181</v>
      </c>
      <c r="T2" s="27" t="s">
        <v>33</v>
      </c>
      <c r="U2" s="27"/>
      <c r="V2" s="27" t="s">
        <v>15</v>
      </c>
      <c r="W2" s="27"/>
      <c r="X2" s="27" t="s">
        <v>15</v>
      </c>
      <c r="Y2" s="27" t="s">
        <v>179</v>
      </c>
      <c r="Z2" s="27" t="s">
        <v>179</v>
      </c>
      <c r="AA2" s="27" t="s">
        <v>319</v>
      </c>
      <c r="AB2" s="27"/>
      <c r="AC2" s="27"/>
      <c r="AD2" s="27" t="s">
        <v>202</v>
      </c>
      <c r="AE2" s="27"/>
      <c r="AF2" s="27"/>
      <c r="AG2" s="27" t="s">
        <v>242</v>
      </c>
      <c r="AH2" s="27"/>
      <c r="AI2" s="27"/>
      <c r="AJ2" s="27" t="s">
        <v>268</v>
      </c>
      <c r="AK2" s="27" t="s">
        <v>270</v>
      </c>
      <c r="AL2" s="27" t="s">
        <v>272</v>
      </c>
      <c r="AM2" s="27"/>
      <c r="AN2" s="27"/>
      <c r="AO2" s="27"/>
      <c r="AP2" s="27"/>
      <c r="AQ2" s="27"/>
      <c r="AR2" s="27"/>
      <c r="AS2" s="27"/>
      <c r="AT2" s="27"/>
      <c r="AU2" s="27"/>
      <c r="AV2" s="27"/>
      <c r="AW2" s="27"/>
      <c r="AX2" s="27"/>
    </row>
    <row r="3" spans="1:50" s="5" customFormat="1" x14ac:dyDescent="0.2">
      <c r="A3" s="27" t="s">
        <v>0</v>
      </c>
      <c r="B3" s="27" t="s">
        <v>25</v>
      </c>
      <c r="C3" s="27" t="s">
        <v>26</v>
      </c>
      <c r="D3" s="27" t="s">
        <v>27</v>
      </c>
      <c r="E3" s="27" t="s">
        <v>28</v>
      </c>
      <c r="F3" s="27" t="s">
        <v>194</v>
      </c>
      <c r="G3" s="27"/>
      <c r="H3" s="27" t="s">
        <v>25</v>
      </c>
      <c r="I3" s="27" t="s">
        <v>26</v>
      </c>
      <c r="J3" s="27" t="s">
        <v>27</v>
      </c>
      <c r="K3" s="27" t="s">
        <v>28</v>
      </c>
      <c r="L3" s="27"/>
      <c r="M3" s="27" t="s">
        <v>273</v>
      </c>
      <c r="N3" s="27"/>
      <c r="O3" s="27"/>
      <c r="P3" s="27"/>
      <c r="Q3" s="27" t="s">
        <v>167</v>
      </c>
      <c r="R3" s="27" t="s">
        <v>178</v>
      </c>
      <c r="S3" s="27" t="s">
        <v>168</v>
      </c>
      <c r="T3" s="27" t="s">
        <v>177</v>
      </c>
      <c r="U3" s="27" t="s">
        <v>169</v>
      </c>
      <c r="V3" s="27" t="s">
        <v>33</v>
      </c>
      <c r="W3" s="27" t="s">
        <v>195</v>
      </c>
      <c r="X3" s="27" t="s">
        <v>196</v>
      </c>
      <c r="Y3" s="27" t="s">
        <v>178</v>
      </c>
      <c r="Z3" s="27" t="s">
        <v>180</v>
      </c>
      <c r="AA3" s="27"/>
      <c r="AB3" s="27"/>
      <c r="AC3" s="27"/>
      <c r="AD3" s="27" t="s">
        <v>339</v>
      </c>
      <c r="AE3" s="27"/>
      <c r="AF3" s="27"/>
      <c r="AG3" s="27" t="s">
        <v>243</v>
      </c>
      <c r="AH3" s="27"/>
      <c r="AI3" s="27" t="s">
        <v>269</v>
      </c>
      <c r="AJ3" s="27"/>
      <c r="AK3" s="27"/>
      <c r="AL3" s="27" t="s">
        <v>271</v>
      </c>
      <c r="AM3" s="27" t="s">
        <v>273</v>
      </c>
      <c r="AN3" s="27" t="s">
        <v>270</v>
      </c>
      <c r="AO3" s="27"/>
      <c r="AP3" s="27"/>
      <c r="AQ3" s="27"/>
      <c r="AR3" s="27"/>
      <c r="AS3" s="27"/>
      <c r="AT3" s="27"/>
      <c r="AU3" s="27"/>
      <c r="AV3" s="27"/>
      <c r="AW3" s="27"/>
      <c r="AX3" s="27"/>
    </row>
    <row r="4" spans="1:50" x14ac:dyDescent="0.2">
      <c r="A4">
        <v>1701</v>
      </c>
      <c r="B4">
        <v>418</v>
      </c>
      <c r="C4">
        <v>242</v>
      </c>
      <c r="D4">
        <v>295</v>
      </c>
      <c r="E4">
        <v>310</v>
      </c>
      <c r="F4">
        <v>69</v>
      </c>
      <c r="H4">
        <v>1212</v>
      </c>
      <c r="I4">
        <v>403</v>
      </c>
      <c r="J4">
        <v>118</v>
      </c>
      <c r="K4">
        <v>105</v>
      </c>
      <c r="L4">
        <f>+'Company establishment'!B3</f>
        <v>531</v>
      </c>
      <c r="M4" s="32">
        <f t="shared" ref="M4:M6" si="0">+L4*0.19</f>
        <v>100.89</v>
      </c>
      <c r="O4" s="25">
        <f>+X4+(L4/0.3)-(M4+L4)+(H4/0.3)-R4</f>
        <v>7180.7599999999984</v>
      </c>
      <c r="Q4">
        <f>+H4+I4</f>
        <v>1615</v>
      </c>
      <c r="R4">
        <f>+Q4+J4+K4</f>
        <v>1838</v>
      </c>
      <c r="S4" s="25">
        <f t="shared" ref="S4:S35" si="1">B4+C4+L4+F4+0.5*M4</f>
        <v>1310.4449999999999</v>
      </c>
      <c r="T4" s="25">
        <f t="shared" ref="T4:T35" si="2">+D4+E4+S4+M4*0.5</f>
        <v>1965.8899999999999</v>
      </c>
      <c r="U4" s="25">
        <f>Q4+S4</f>
        <v>2925.4449999999997</v>
      </c>
      <c r="V4" s="25">
        <f>+T4+R4</f>
        <v>3803.89</v>
      </c>
      <c r="W4" s="25">
        <v>36.76</v>
      </c>
      <c r="X4" s="25">
        <f t="shared" ref="X4:X35" si="3">+V4+W4</f>
        <v>3840.65</v>
      </c>
      <c r="Y4" s="24">
        <f t="shared" ref="Y4:Y35" si="4">+R4/V4</f>
        <v>0.48318957698566467</v>
      </c>
      <c r="Z4" s="24">
        <f t="shared" ref="Z4:Z35" si="5">+U4/V4</f>
        <v>0.76906666596562989</v>
      </c>
      <c r="AA4" s="24">
        <f>+H4/R4</f>
        <v>0.65941240478781282</v>
      </c>
      <c r="AB4" s="24">
        <f>+(H4+I4)/R4</f>
        <v>0.87867247007616978</v>
      </c>
      <c r="AD4" s="24">
        <f>1100/3367</f>
        <v>0.32670032670032673</v>
      </c>
      <c r="AE4" s="25">
        <f t="shared" ref="AE4:AE35" si="6">+AD4*V4</f>
        <v>1242.7321057321058</v>
      </c>
      <c r="AF4" s="40">
        <f>+AE4/X4</f>
        <v>0.32357338099855643</v>
      </c>
      <c r="AG4" s="25">
        <f>+ships!G51</f>
        <v>417.58498630136984</v>
      </c>
      <c r="AI4" s="25">
        <f>+X4*0.597</f>
        <v>2292.86805</v>
      </c>
      <c r="AJ4" s="25">
        <f>+'incomeVOC and total income'!Q3+'incomeVOC and total income'!M3+Population!M4</f>
        <v>971.89</v>
      </c>
      <c r="AK4" s="25">
        <f>+X4-AI4-AJ4</f>
        <v>575.89195000000007</v>
      </c>
      <c r="AL4" s="24">
        <f>+AI4/X4</f>
        <v>0.59699999999999998</v>
      </c>
      <c r="AM4" s="24">
        <f>+AJ4/X4</f>
        <v>0.25305351958652833</v>
      </c>
      <c r="AN4" s="24">
        <f>+AK4/X4</f>
        <v>0.14994648041347169</v>
      </c>
    </row>
    <row r="5" spans="1:50" x14ac:dyDescent="0.2">
      <c r="A5">
        <v>1702</v>
      </c>
      <c r="B5">
        <v>502</v>
      </c>
      <c r="C5">
        <v>270</v>
      </c>
      <c r="D5">
        <v>337</v>
      </c>
      <c r="E5">
        <v>333</v>
      </c>
      <c r="F5">
        <v>90</v>
      </c>
      <c r="H5">
        <v>1270</v>
      </c>
      <c r="I5">
        <v>407</v>
      </c>
      <c r="J5">
        <v>129</v>
      </c>
      <c r="K5">
        <v>104</v>
      </c>
      <c r="L5">
        <f>+'Company establishment'!B4</f>
        <v>586</v>
      </c>
      <c r="M5" s="32">
        <f t="shared" si="0"/>
        <v>111.34</v>
      </c>
      <c r="O5" s="25">
        <f t="shared" ref="O5:O68" si="7">+X5+(L5/0.3)-(M5+L5)+(H5/0.3)-R5</f>
        <v>7756.8666666666668</v>
      </c>
      <c r="Q5">
        <f t="shared" ref="Q5:Q68" si="8">+H5+I5</f>
        <v>1677</v>
      </c>
      <c r="R5">
        <f t="shared" ref="R5:R68" si="9">+Q5+J5+K5</f>
        <v>1910</v>
      </c>
      <c r="S5" s="25">
        <f t="shared" si="1"/>
        <v>1503.67</v>
      </c>
      <c r="T5" s="25">
        <f t="shared" si="2"/>
        <v>2229.34</v>
      </c>
      <c r="U5" s="25">
        <f t="shared" ref="U5:U68" si="10">Q5+S5</f>
        <v>3180.67</v>
      </c>
      <c r="V5" s="25">
        <f t="shared" ref="V5:V68" si="11">+T5+R5</f>
        <v>4139.34</v>
      </c>
      <c r="W5" s="25">
        <v>38.200000000000003</v>
      </c>
      <c r="X5" s="25">
        <f t="shared" si="3"/>
        <v>4177.54</v>
      </c>
      <c r="Y5" s="24">
        <f t="shared" si="4"/>
        <v>0.46142621770620434</v>
      </c>
      <c r="Z5" s="24">
        <f t="shared" si="5"/>
        <v>0.76840027637256181</v>
      </c>
      <c r="AA5" s="24">
        <f t="shared" ref="AA5:AA68" si="12">+H5/R5</f>
        <v>0.66492146596858637</v>
      </c>
      <c r="AB5" s="24">
        <f t="shared" ref="AB5:AB68" si="13">+(H5+I5)/R5</f>
        <v>0.87801047120418851</v>
      </c>
      <c r="AD5" s="24">
        <f t="shared" ref="AD5:AD11" si="14">1100/3367</f>
        <v>0.32670032670032673</v>
      </c>
      <c r="AE5" s="25">
        <f t="shared" si="6"/>
        <v>1352.3237303237304</v>
      </c>
      <c r="AF5" s="40">
        <f t="shared" ref="AF5:AF68" si="15">+AE5/X5</f>
        <v>0.32371293400511553</v>
      </c>
      <c r="AG5" s="25">
        <f>+ships!G52</f>
        <v>493.80819726027397</v>
      </c>
      <c r="AI5" s="25">
        <f>+X5*0.597</f>
        <v>2493.9913799999999</v>
      </c>
      <c r="AJ5" s="25">
        <f>+'incomeVOC and total income'!Q4+'incomeVOC and total income'!M4+Population!M5</f>
        <v>1055.3399999999997</v>
      </c>
      <c r="AK5" s="25">
        <f>+X5-AI5-AJ5</f>
        <v>628.20862000000034</v>
      </c>
      <c r="AL5" s="24">
        <f>+AI5/X5</f>
        <v>0.59699999999999998</v>
      </c>
      <c r="AM5" s="24">
        <f>+AJ5/X5</f>
        <v>0.2526223566979609</v>
      </c>
      <c r="AN5" s="24">
        <f>+AK5/X5</f>
        <v>0.15037764330203909</v>
      </c>
    </row>
    <row r="6" spans="1:50" x14ac:dyDescent="0.2">
      <c r="A6">
        <v>1703</v>
      </c>
      <c r="B6">
        <v>571</v>
      </c>
      <c r="C6">
        <v>280</v>
      </c>
      <c r="D6">
        <v>349</v>
      </c>
      <c r="E6">
        <v>363</v>
      </c>
      <c r="F6">
        <v>89</v>
      </c>
      <c r="H6">
        <v>1361</v>
      </c>
      <c r="I6">
        <v>439</v>
      </c>
      <c r="J6">
        <v>131</v>
      </c>
      <c r="K6">
        <v>122</v>
      </c>
      <c r="L6" s="30">
        <v>560</v>
      </c>
      <c r="M6" s="32">
        <f t="shared" si="0"/>
        <v>106.4</v>
      </c>
      <c r="N6" s="33"/>
      <c r="O6" s="25">
        <f t="shared" si="7"/>
        <v>8096.3933333333334</v>
      </c>
      <c r="Q6">
        <f t="shared" si="8"/>
        <v>1800</v>
      </c>
      <c r="R6">
        <f t="shared" si="9"/>
        <v>2053</v>
      </c>
      <c r="S6" s="25">
        <f t="shared" si="1"/>
        <v>1553.2</v>
      </c>
      <c r="T6" s="25">
        <f t="shared" si="2"/>
        <v>2318.3999999999996</v>
      </c>
      <c r="U6" s="25">
        <f t="shared" si="10"/>
        <v>3353.2</v>
      </c>
      <c r="V6" s="25">
        <f t="shared" si="11"/>
        <v>4371.3999999999996</v>
      </c>
      <c r="W6" s="25">
        <v>41.06</v>
      </c>
      <c r="X6" s="25">
        <f t="shared" si="3"/>
        <v>4412.46</v>
      </c>
      <c r="Y6" s="24">
        <f t="shared" si="4"/>
        <v>0.46964359244178072</v>
      </c>
      <c r="Z6" s="24">
        <f t="shared" si="5"/>
        <v>0.76707690899940528</v>
      </c>
      <c r="AA6" s="24">
        <f t="shared" si="12"/>
        <v>0.66293229420360444</v>
      </c>
      <c r="AB6" s="24">
        <f t="shared" si="13"/>
        <v>0.87676570871894788</v>
      </c>
      <c r="AD6" s="24">
        <f t="shared" si="14"/>
        <v>0.32670032670032673</v>
      </c>
      <c r="AE6" s="25">
        <f t="shared" si="6"/>
        <v>1428.1378081378082</v>
      </c>
      <c r="AF6" s="40">
        <f t="shared" si="15"/>
        <v>0.32366022765935742</v>
      </c>
      <c r="AG6" s="25">
        <f>+ships!G53</f>
        <v>542.0254191780823</v>
      </c>
      <c r="AI6" s="25">
        <f>+X6*0.597</f>
        <v>2634.2386200000001</v>
      </c>
      <c r="AJ6" s="25">
        <f>+'incomeVOC and total income'!Q5+'incomeVOC and total income'!M5+Population!M6</f>
        <v>1038.708304843525</v>
      </c>
      <c r="AK6" s="25">
        <f>+X6-AI6-AJ6</f>
        <v>739.513075156475</v>
      </c>
      <c r="AL6" s="24">
        <f>+AI6/X6</f>
        <v>0.59699999999999998</v>
      </c>
      <c r="AM6" s="24">
        <f>+AJ6/X6</f>
        <v>0.23540344951422221</v>
      </c>
      <c r="AN6" s="24">
        <f>+AK6/X6</f>
        <v>0.16759655048577776</v>
      </c>
    </row>
    <row r="7" spans="1:50" x14ac:dyDescent="0.2">
      <c r="A7">
        <v>1704</v>
      </c>
      <c r="B7">
        <v>542</v>
      </c>
      <c r="C7">
        <v>291</v>
      </c>
      <c r="D7">
        <v>386</v>
      </c>
      <c r="E7">
        <v>371</v>
      </c>
      <c r="F7">
        <v>81</v>
      </c>
      <c r="H7">
        <v>1401</v>
      </c>
      <c r="I7">
        <v>437</v>
      </c>
      <c r="J7">
        <v>128</v>
      </c>
      <c r="K7">
        <v>117</v>
      </c>
      <c r="L7" s="30">
        <v>560</v>
      </c>
      <c r="M7" s="32">
        <f>+L7*0.19</f>
        <v>106.4</v>
      </c>
      <c r="N7" s="33"/>
      <c r="O7" s="25">
        <f t="shared" si="7"/>
        <v>8249.3266666666677</v>
      </c>
      <c r="Q7">
        <f t="shared" si="8"/>
        <v>1838</v>
      </c>
      <c r="R7">
        <f t="shared" si="9"/>
        <v>2083</v>
      </c>
      <c r="S7" s="25">
        <f t="shared" si="1"/>
        <v>1527.2</v>
      </c>
      <c r="T7" s="25">
        <f t="shared" si="2"/>
        <v>2337.3999999999996</v>
      </c>
      <c r="U7" s="25">
        <f t="shared" si="10"/>
        <v>3365.2</v>
      </c>
      <c r="V7" s="25">
        <f t="shared" si="11"/>
        <v>4420.3999999999996</v>
      </c>
      <c r="W7" s="25">
        <v>41.660000000000004</v>
      </c>
      <c r="X7" s="25">
        <f t="shared" si="3"/>
        <v>4462.0599999999995</v>
      </c>
      <c r="Y7" s="24">
        <f t="shared" si="4"/>
        <v>0.47122432359062533</v>
      </c>
      <c r="Z7" s="24">
        <f t="shared" si="5"/>
        <v>0.7612885711700299</v>
      </c>
      <c r="AA7" s="24">
        <f t="shared" si="12"/>
        <v>0.67258761401824296</v>
      </c>
      <c r="AB7" s="24">
        <f t="shared" si="13"/>
        <v>0.88238118098895824</v>
      </c>
      <c r="AD7" s="24">
        <f t="shared" si="14"/>
        <v>0.32670032670032673</v>
      </c>
      <c r="AE7" s="25">
        <f t="shared" si="6"/>
        <v>1444.1461241461241</v>
      </c>
      <c r="AF7" s="40">
        <f t="shared" si="15"/>
        <v>0.32365009079800006</v>
      </c>
      <c r="AG7" s="25">
        <f>+ships!G54</f>
        <v>442.1232876712329</v>
      </c>
      <c r="AI7" s="25">
        <f>+X7*0.597</f>
        <v>2663.8498199999995</v>
      </c>
      <c r="AJ7" s="25">
        <f>+'incomeVOC and total income'!Q6+'incomeVOC and total income'!M6+Population!M7</f>
        <v>1053.5884744565894</v>
      </c>
      <c r="AK7" s="25">
        <f>+X7-AI7-AJ7</f>
        <v>744.6217055434106</v>
      </c>
      <c r="AL7" s="24">
        <f>+AI7/X7</f>
        <v>0.59699999999999998</v>
      </c>
      <c r="AM7" s="24">
        <f>+AJ7/X7</f>
        <v>0.23612153903277625</v>
      </c>
      <c r="AN7" s="24">
        <f>+AK7/X7</f>
        <v>0.16687846096722381</v>
      </c>
    </row>
    <row r="8" spans="1:50" x14ac:dyDescent="0.2">
      <c r="A8">
        <v>1705</v>
      </c>
      <c r="B8">
        <v>568</v>
      </c>
      <c r="C8">
        <v>288</v>
      </c>
      <c r="D8">
        <v>408</v>
      </c>
      <c r="E8">
        <v>395</v>
      </c>
      <c r="F8">
        <v>120</v>
      </c>
      <c r="H8">
        <v>1483</v>
      </c>
      <c r="I8">
        <v>462</v>
      </c>
      <c r="J8">
        <v>139</v>
      </c>
      <c r="K8">
        <v>130</v>
      </c>
      <c r="L8">
        <f>+'Company establishment'!B7</f>
        <v>542</v>
      </c>
      <c r="M8">
        <v>104</v>
      </c>
      <c r="O8" s="25">
        <f t="shared" si="7"/>
        <v>8573.2800000000007</v>
      </c>
      <c r="Q8">
        <f t="shared" si="8"/>
        <v>1945</v>
      </c>
      <c r="R8">
        <f t="shared" si="9"/>
        <v>2214</v>
      </c>
      <c r="S8" s="25">
        <f t="shared" si="1"/>
        <v>1570</v>
      </c>
      <c r="T8" s="25">
        <f t="shared" si="2"/>
        <v>2425</v>
      </c>
      <c r="U8" s="25">
        <f t="shared" si="10"/>
        <v>3515</v>
      </c>
      <c r="V8" s="25">
        <f t="shared" si="11"/>
        <v>4639</v>
      </c>
      <c r="W8" s="25">
        <v>44.28</v>
      </c>
      <c r="X8" s="25">
        <f t="shared" si="3"/>
        <v>4683.28</v>
      </c>
      <c r="Y8" s="24">
        <f t="shared" si="4"/>
        <v>0.47725802974779047</v>
      </c>
      <c r="Z8" s="24">
        <f t="shared" si="5"/>
        <v>0.75770640224186248</v>
      </c>
      <c r="AA8" s="24">
        <f t="shared" si="12"/>
        <v>0.66982836495031617</v>
      </c>
      <c r="AB8" s="24">
        <f t="shared" si="13"/>
        <v>0.8785004516711834</v>
      </c>
      <c r="AD8" s="24">
        <f t="shared" si="14"/>
        <v>0.32670032670032673</v>
      </c>
      <c r="AE8" s="25">
        <f t="shared" si="6"/>
        <v>1515.5628155628158</v>
      </c>
      <c r="AF8" s="40">
        <f t="shared" si="15"/>
        <v>0.3236114038799337</v>
      </c>
      <c r="AG8" s="25">
        <f>+ships!G55</f>
        <v>472.58168767123283</v>
      </c>
      <c r="AI8" s="25">
        <f>+X8*0.597</f>
        <v>2795.9181599999997</v>
      </c>
      <c r="AJ8" s="25">
        <f>+'incomeVOC and total income'!Q7+'incomeVOC and total income'!M7+Population!M8</f>
        <v>1048.6633647482774</v>
      </c>
      <c r="AK8" s="25">
        <f>+X8-AI8-AJ8</f>
        <v>838.69847525172258</v>
      </c>
      <c r="AL8" s="24">
        <f>+AI8/X8</f>
        <v>0.59699999999999998</v>
      </c>
      <c r="AM8" s="24">
        <f>+AJ8/X8</f>
        <v>0.2239164356494332</v>
      </c>
      <c r="AN8" s="24">
        <f>+AK8/X8</f>
        <v>0.17908356435056683</v>
      </c>
    </row>
    <row r="9" spans="1:50" x14ac:dyDescent="0.2">
      <c r="A9">
        <v>1706</v>
      </c>
      <c r="B9">
        <v>554</v>
      </c>
      <c r="C9">
        <v>295</v>
      </c>
      <c r="D9">
        <v>409</v>
      </c>
      <c r="E9">
        <v>411</v>
      </c>
      <c r="F9">
        <v>66</v>
      </c>
      <c r="H9">
        <v>1540</v>
      </c>
      <c r="I9">
        <v>483</v>
      </c>
      <c r="J9">
        <v>135</v>
      </c>
      <c r="K9">
        <v>136</v>
      </c>
      <c r="L9">
        <f>+'Company establishment'!B8</f>
        <v>531</v>
      </c>
      <c r="M9" s="32">
        <v>103.0915926199262</v>
      </c>
      <c r="O9" s="25">
        <f t="shared" si="7"/>
        <v>8684.213333333335</v>
      </c>
      <c r="Q9">
        <f t="shared" si="8"/>
        <v>2023</v>
      </c>
      <c r="R9">
        <f t="shared" si="9"/>
        <v>2294</v>
      </c>
      <c r="S9" s="25">
        <f t="shared" si="1"/>
        <v>1497.5457963099632</v>
      </c>
      <c r="T9" s="25">
        <f t="shared" si="2"/>
        <v>2369.0915926199264</v>
      </c>
      <c r="U9" s="25">
        <f t="shared" si="10"/>
        <v>3520.5457963099634</v>
      </c>
      <c r="V9" s="25">
        <f t="shared" si="11"/>
        <v>4663.0915926199268</v>
      </c>
      <c r="W9" s="25">
        <v>45.879999999999995</v>
      </c>
      <c r="X9" s="25">
        <f t="shared" si="3"/>
        <v>4708.9715926199269</v>
      </c>
      <c r="Y9" s="24">
        <f t="shared" si="4"/>
        <v>0.49194830391721545</v>
      </c>
      <c r="Z9" s="24">
        <f t="shared" si="5"/>
        <v>0.75498105203032662</v>
      </c>
      <c r="AA9" s="24">
        <f t="shared" si="12"/>
        <v>0.67131647776809067</v>
      </c>
      <c r="AB9" s="24">
        <f t="shared" si="13"/>
        <v>0.88186573670444635</v>
      </c>
      <c r="AD9" s="24">
        <f t="shared" si="14"/>
        <v>0.32670032670032673</v>
      </c>
      <c r="AE9" s="25">
        <f t="shared" si="6"/>
        <v>1523.4335467424769</v>
      </c>
      <c r="AF9" s="40">
        <f t="shared" si="15"/>
        <v>0.32351725143767224</v>
      </c>
      <c r="AG9" s="25">
        <f>+ships!G56</f>
        <v>577.48441095890405</v>
      </c>
      <c r="AI9" s="25">
        <f>+X9*0.597</f>
        <v>2811.2560407940964</v>
      </c>
      <c r="AJ9" s="25">
        <f>+'incomeVOC and total income'!Q8+'incomeVOC and total income'!M8+Population!M9</f>
        <v>1052.8483377373036</v>
      </c>
      <c r="AK9" s="25">
        <f>+X9-AI9-AJ9</f>
        <v>844.86721408852691</v>
      </c>
      <c r="AL9" s="24">
        <f>+AI9/X9</f>
        <v>0.59699999999999998</v>
      </c>
      <c r="AM9" s="24">
        <f>+AJ9/X9</f>
        <v>0.22358349737920827</v>
      </c>
      <c r="AN9" s="24">
        <f>+AK9/X9</f>
        <v>0.17941650262079173</v>
      </c>
    </row>
    <row r="10" spans="1:50" x14ac:dyDescent="0.2">
      <c r="A10">
        <v>1707</v>
      </c>
      <c r="B10">
        <v>513</v>
      </c>
      <c r="C10">
        <v>290</v>
      </c>
      <c r="D10">
        <v>426</v>
      </c>
      <c r="E10">
        <v>412</v>
      </c>
      <c r="F10">
        <v>128</v>
      </c>
      <c r="H10">
        <v>1257</v>
      </c>
      <c r="I10">
        <v>427</v>
      </c>
      <c r="J10">
        <v>142</v>
      </c>
      <c r="K10">
        <v>186</v>
      </c>
      <c r="L10">
        <f>+'Company establishment'!B9</f>
        <v>527</v>
      </c>
      <c r="M10" s="32">
        <v>103.52232521387454</v>
      </c>
      <c r="O10" s="25">
        <f t="shared" si="7"/>
        <v>7755.9066666666658</v>
      </c>
      <c r="Q10">
        <f t="shared" si="8"/>
        <v>1684</v>
      </c>
      <c r="R10">
        <f t="shared" si="9"/>
        <v>2012</v>
      </c>
      <c r="S10" s="25">
        <f t="shared" si="1"/>
        <v>1509.7611626069372</v>
      </c>
      <c r="T10" s="25">
        <f t="shared" si="2"/>
        <v>2399.5223252138749</v>
      </c>
      <c r="U10" s="25">
        <f t="shared" si="10"/>
        <v>3193.7611626069374</v>
      </c>
      <c r="V10" s="25">
        <f t="shared" si="11"/>
        <v>4411.5223252138749</v>
      </c>
      <c r="W10" s="25">
        <v>40.239999999999995</v>
      </c>
      <c r="X10" s="25">
        <f t="shared" si="3"/>
        <v>4451.7623252138746</v>
      </c>
      <c r="Y10" s="24">
        <f t="shared" si="4"/>
        <v>0.45607839010594969</v>
      </c>
      <c r="Z10" s="24">
        <f t="shared" si="5"/>
        <v>0.72395897088701711</v>
      </c>
      <c r="AA10" s="24">
        <f t="shared" si="12"/>
        <v>0.62475149105367789</v>
      </c>
      <c r="AB10" s="24">
        <f t="shared" si="13"/>
        <v>0.83697813121272369</v>
      </c>
      <c r="AD10" s="24">
        <f t="shared" si="14"/>
        <v>0.32670032670032673</v>
      </c>
      <c r="AE10" s="25">
        <f t="shared" si="6"/>
        <v>1441.2457848931579</v>
      </c>
      <c r="AF10" s="40">
        <f t="shared" si="15"/>
        <v>0.32374724426105039</v>
      </c>
      <c r="AG10" s="25">
        <f>+ships!G57</f>
        <v>490.6849068493151</v>
      </c>
      <c r="AI10" s="25">
        <f>+X10*0.597</f>
        <v>2657.7021081526832</v>
      </c>
      <c r="AJ10" s="25">
        <f>+'incomeVOC and total income'!Q9+'incomeVOC and total income'!M9+Population!M10</f>
        <v>1066.0156601760054</v>
      </c>
      <c r="AK10" s="25">
        <f>+X10-AI10-AJ10</f>
        <v>728.04455688518601</v>
      </c>
      <c r="AL10" s="24">
        <f>+AI10/X10</f>
        <v>0.59699999999999998</v>
      </c>
      <c r="AM10" s="24">
        <f>+AJ10/X10</f>
        <v>0.23945924833819407</v>
      </c>
      <c r="AN10" s="24">
        <f>+AK10/X10</f>
        <v>0.16354075166180593</v>
      </c>
    </row>
    <row r="11" spans="1:50" x14ac:dyDescent="0.2">
      <c r="A11">
        <v>1708</v>
      </c>
      <c r="B11">
        <v>491</v>
      </c>
      <c r="C11">
        <v>307</v>
      </c>
      <c r="D11">
        <v>472</v>
      </c>
      <c r="E11">
        <v>453</v>
      </c>
      <c r="F11">
        <v>79</v>
      </c>
      <c r="H11">
        <v>1616</v>
      </c>
      <c r="I11">
        <v>504</v>
      </c>
      <c r="J11">
        <v>169</v>
      </c>
      <c r="K11">
        <v>190</v>
      </c>
      <c r="L11">
        <f>+'Company establishment'!B10</f>
        <v>513</v>
      </c>
      <c r="M11" s="32">
        <v>101.96131855439718</v>
      </c>
      <c r="O11" s="25">
        <f t="shared" si="7"/>
        <v>8948.246666666666</v>
      </c>
      <c r="Q11">
        <f t="shared" si="8"/>
        <v>2120</v>
      </c>
      <c r="R11">
        <f t="shared" si="9"/>
        <v>2479</v>
      </c>
      <c r="S11" s="25">
        <f t="shared" si="1"/>
        <v>1440.9806592771986</v>
      </c>
      <c r="T11" s="25">
        <f t="shared" si="2"/>
        <v>2416.9613185543972</v>
      </c>
      <c r="U11" s="25">
        <f t="shared" si="10"/>
        <v>3560.9806592771984</v>
      </c>
      <c r="V11" s="25">
        <f t="shared" si="11"/>
        <v>4895.9613185543967</v>
      </c>
      <c r="W11" s="25">
        <v>49.579999999999991</v>
      </c>
      <c r="X11" s="25">
        <f t="shared" si="3"/>
        <v>4945.5413185543966</v>
      </c>
      <c r="Y11" s="24">
        <f t="shared" si="4"/>
        <v>0.50633569971340386</v>
      </c>
      <c r="Z11" s="24">
        <f t="shared" si="5"/>
        <v>0.72733022742275855</v>
      </c>
      <c r="AA11" s="24">
        <f t="shared" si="12"/>
        <v>0.65187575635336825</v>
      </c>
      <c r="AB11" s="24">
        <f t="shared" si="13"/>
        <v>0.85518354175070588</v>
      </c>
      <c r="AD11" s="24">
        <f t="shared" si="14"/>
        <v>0.32670032670032673</v>
      </c>
      <c r="AE11" s="25">
        <f t="shared" si="6"/>
        <v>1599.5121622838838</v>
      </c>
      <c r="AF11" s="40">
        <f t="shared" si="15"/>
        <v>0.32342509328208952</v>
      </c>
      <c r="AG11" s="25">
        <f>+ships!G58</f>
        <v>850.96946575342474</v>
      </c>
      <c r="AI11" s="25">
        <f>+X11*0.597</f>
        <v>2952.4881671769745</v>
      </c>
      <c r="AJ11" s="25">
        <f>+'incomeVOC and total income'!Q10+'incomeVOC and total income'!M10+Population!M11</f>
        <v>1067.8601602035712</v>
      </c>
      <c r="AK11" s="25">
        <f>+X11-AI11-AJ11</f>
        <v>925.19299117385094</v>
      </c>
      <c r="AL11" s="24">
        <f>+AI11/X11</f>
        <v>0.59699999999999998</v>
      </c>
      <c r="AM11" s="24">
        <f>+AJ11/X11</f>
        <v>0.21592381731747648</v>
      </c>
      <c r="AN11" s="24">
        <f>+AK11/X11</f>
        <v>0.1870761826825236</v>
      </c>
    </row>
    <row r="12" spans="1:50" x14ac:dyDescent="0.2">
      <c r="A12">
        <v>1709</v>
      </c>
      <c r="B12">
        <v>627</v>
      </c>
      <c r="C12">
        <v>331</v>
      </c>
      <c r="D12">
        <v>433</v>
      </c>
      <c r="E12">
        <v>496</v>
      </c>
      <c r="F12">
        <v>98</v>
      </c>
      <c r="H12">
        <v>1601</v>
      </c>
      <c r="I12">
        <v>528</v>
      </c>
      <c r="J12">
        <v>183</v>
      </c>
      <c r="K12">
        <v>203</v>
      </c>
      <c r="L12">
        <f>+'Company establishment'!B11</f>
        <v>621</v>
      </c>
      <c r="M12" s="32">
        <v>124.88329624246308</v>
      </c>
      <c r="O12" s="25">
        <f t="shared" si="7"/>
        <v>9441.9666666666672</v>
      </c>
      <c r="Q12">
        <f t="shared" si="8"/>
        <v>2129</v>
      </c>
      <c r="R12">
        <f t="shared" si="9"/>
        <v>2515</v>
      </c>
      <c r="S12" s="25">
        <f t="shared" si="1"/>
        <v>1739.4416481212315</v>
      </c>
      <c r="T12" s="25">
        <f t="shared" si="2"/>
        <v>2730.8832962424631</v>
      </c>
      <c r="U12" s="25">
        <f t="shared" si="10"/>
        <v>3868.4416481212315</v>
      </c>
      <c r="V12" s="25">
        <f t="shared" si="11"/>
        <v>5245.8832962424631</v>
      </c>
      <c r="W12" s="25">
        <v>50.29999999999999</v>
      </c>
      <c r="X12" s="25">
        <f t="shared" si="3"/>
        <v>5296.1832962424633</v>
      </c>
      <c r="Y12" s="24">
        <f t="shared" si="4"/>
        <v>0.47942355137817338</v>
      </c>
      <c r="Z12" s="24">
        <f t="shared" si="5"/>
        <v>0.73742426769046321</v>
      </c>
      <c r="AA12" s="24">
        <f t="shared" si="12"/>
        <v>0.6365805168986084</v>
      </c>
      <c r="AB12" s="24">
        <f t="shared" si="13"/>
        <v>0.84652087475149107</v>
      </c>
      <c r="AD12" s="24">
        <f>1700/4960</f>
        <v>0.34274193548387094</v>
      </c>
      <c r="AE12" s="25">
        <f t="shared" si="6"/>
        <v>1797.9841942766504</v>
      </c>
      <c r="AF12" s="40">
        <f t="shared" si="15"/>
        <v>0.3394867763644594</v>
      </c>
      <c r="AG12" s="25">
        <f>+ships!G59</f>
        <v>584.50810958904106</v>
      </c>
      <c r="AI12" s="25">
        <f>+X12*0.597</f>
        <v>3161.8214278567502</v>
      </c>
      <c r="AJ12" s="25">
        <f>+'incomeVOC and total income'!Q11+'incomeVOC and total income'!M11+Population!M12</f>
        <v>1216.8832962424633</v>
      </c>
      <c r="AK12" s="25">
        <f>+X12-AI12-AJ12</f>
        <v>917.47857214324972</v>
      </c>
      <c r="AL12" s="24">
        <f>+AI12/X12</f>
        <v>0.59699999999999998</v>
      </c>
      <c r="AM12" s="24">
        <f>+AJ12/X12</f>
        <v>0.22976608402239737</v>
      </c>
      <c r="AN12" s="24">
        <f>+AK12/X12</f>
        <v>0.17323391597760268</v>
      </c>
    </row>
    <row r="13" spans="1:50" x14ac:dyDescent="0.2">
      <c r="A13">
        <v>1710</v>
      </c>
      <c r="B13">
        <v>656</v>
      </c>
      <c r="C13">
        <v>339</v>
      </c>
      <c r="D13">
        <v>458</v>
      </c>
      <c r="E13">
        <v>470</v>
      </c>
      <c r="F13">
        <v>94</v>
      </c>
      <c r="H13">
        <v>1570</v>
      </c>
      <c r="I13">
        <v>546</v>
      </c>
      <c r="J13">
        <v>193</v>
      </c>
      <c r="K13">
        <v>212</v>
      </c>
      <c r="L13">
        <f>+'Company establishment'!B12</f>
        <v>640</v>
      </c>
      <c r="M13" s="32">
        <v>130.22291183317142</v>
      </c>
      <c r="O13" s="25">
        <f t="shared" si="7"/>
        <v>9434.0866666666661</v>
      </c>
      <c r="Q13">
        <f t="shared" si="8"/>
        <v>2116</v>
      </c>
      <c r="R13">
        <f t="shared" si="9"/>
        <v>2521</v>
      </c>
      <c r="S13" s="25">
        <f t="shared" si="1"/>
        <v>1794.1114559165858</v>
      </c>
      <c r="T13" s="25">
        <f t="shared" si="2"/>
        <v>2787.2229118331716</v>
      </c>
      <c r="U13" s="25">
        <f t="shared" si="10"/>
        <v>3910.1114559165858</v>
      </c>
      <c r="V13" s="25">
        <f t="shared" si="11"/>
        <v>5308.2229118331716</v>
      </c>
      <c r="W13" s="25">
        <v>50.419999999999995</v>
      </c>
      <c r="X13" s="25">
        <f t="shared" si="3"/>
        <v>5358.6429118331716</v>
      </c>
      <c r="Y13" s="24">
        <f t="shared" si="4"/>
        <v>0.47492353691103445</v>
      </c>
      <c r="Z13" s="24">
        <f t="shared" si="5"/>
        <v>0.73661402711632651</v>
      </c>
      <c r="AA13" s="24">
        <f t="shared" si="12"/>
        <v>0.62276874256247516</v>
      </c>
      <c r="AB13" s="24">
        <f t="shared" si="13"/>
        <v>0.83934946449821501</v>
      </c>
      <c r="AD13" s="24">
        <f t="shared" ref="AD13:AD16" si="16">1700/4960</f>
        <v>0.34274193548387094</v>
      </c>
      <c r="AE13" s="25">
        <f t="shared" si="6"/>
        <v>1819.3505947815304</v>
      </c>
      <c r="AF13" s="40">
        <f t="shared" si="15"/>
        <v>0.33951704278782358</v>
      </c>
      <c r="AG13" s="25">
        <f>+ships!G60</f>
        <v>812.90803013698621</v>
      </c>
      <c r="AI13" s="25">
        <f>+X13*0.597</f>
        <v>3199.1098183644035</v>
      </c>
      <c r="AJ13" s="25">
        <f>+'incomeVOC and total income'!Q12+'incomeVOC and total income'!M12+Population!M13</f>
        <v>1285.7229118331713</v>
      </c>
      <c r="AK13" s="25">
        <f>+X13-AI13-AJ13</f>
        <v>873.81018163559679</v>
      </c>
      <c r="AL13" s="24">
        <f>+AI13/X13</f>
        <v>0.59699999999999998</v>
      </c>
      <c r="AM13" s="24">
        <f>+AJ13/X13</f>
        <v>0.23993442612008836</v>
      </c>
      <c r="AN13" s="24">
        <f>+AK13/X13</f>
        <v>0.16306557387991163</v>
      </c>
    </row>
    <row r="14" spans="1:50" x14ac:dyDescent="0.2">
      <c r="A14">
        <v>1711</v>
      </c>
      <c r="B14">
        <v>545</v>
      </c>
      <c r="C14">
        <v>337</v>
      </c>
      <c r="D14">
        <v>462</v>
      </c>
      <c r="E14">
        <v>412</v>
      </c>
      <c r="F14">
        <v>114</v>
      </c>
      <c r="H14">
        <v>1613</v>
      </c>
      <c r="I14">
        <v>501</v>
      </c>
      <c r="J14">
        <v>187</v>
      </c>
      <c r="K14">
        <v>191</v>
      </c>
      <c r="L14">
        <f>+'Company establishment'!B13</f>
        <v>732</v>
      </c>
      <c r="M14" s="32">
        <v>150.69997638301825</v>
      </c>
      <c r="O14" s="25">
        <f t="shared" si="7"/>
        <v>9736.506666666668</v>
      </c>
      <c r="Q14">
        <f t="shared" si="8"/>
        <v>2114</v>
      </c>
      <c r="R14">
        <f t="shared" si="9"/>
        <v>2492</v>
      </c>
      <c r="S14" s="25">
        <f t="shared" si="1"/>
        <v>1803.3499881915091</v>
      </c>
      <c r="T14" s="25">
        <f t="shared" si="2"/>
        <v>2752.6999763830181</v>
      </c>
      <c r="U14" s="25">
        <f t="shared" si="10"/>
        <v>3917.3499881915091</v>
      </c>
      <c r="V14" s="25">
        <f t="shared" si="11"/>
        <v>5244.6999763830181</v>
      </c>
      <c r="W14" s="25">
        <v>49.839999999999989</v>
      </c>
      <c r="X14" s="25">
        <f t="shared" si="3"/>
        <v>5294.5399763830183</v>
      </c>
      <c r="Y14" s="24">
        <f t="shared" si="4"/>
        <v>0.4751463403476886</v>
      </c>
      <c r="Z14" s="24">
        <f t="shared" si="5"/>
        <v>0.74691593529304046</v>
      </c>
      <c r="AA14" s="24">
        <f t="shared" si="12"/>
        <v>0.6472712680577849</v>
      </c>
      <c r="AB14" s="24">
        <f t="shared" si="13"/>
        <v>0.848314606741573</v>
      </c>
      <c r="AD14" s="24">
        <f t="shared" si="16"/>
        <v>0.34274193548387094</v>
      </c>
      <c r="AE14" s="25">
        <f t="shared" si="6"/>
        <v>1797.5786209377279</v>
      </c>
      <c r="AF14" s="40">
        <f t="shared" si="15"/>
        <v>0.33951554411829171</v>
      </c>
      <c r="AG14" s="25">
        <f>+ships!G61</f>
        <v>752.99586301369857</v>
      </c>
      <c r="AI14" s="25">
        <f>+X14*0.597</f>
        <v>3160.8403659006617</v>
      </c>
      <c r="AJ14" s="25">
        <f>+'incomeVOC and total income'!Q13+'incomeVOC and total income'!M13+Population!M14</f>
        <v>1442.6999763830183</v>
      </c>
      <c r="AK14" s="25">
        <f>+X14-AI14-AJ14</f>
        <v>690.99963409933821</v>
      </c>
      <c r="AL14" s="24">
        <f>+AI14/X14</f>
        <v>0.59699999999999998</v>
      </c>
      <c r="AM14" s="24">
        <f>+AJ14/X14</f>
        <v>0.27248825824686723</v>
      </c>
      <c r="AN14" s="24">
        <f>+AK14/X14</f>
        <v>0.13051174175313279</v>
      </c>
    </row>
    <row r="15" spans="1:50" x14ac:dyDescent="0.2">
      <c r="A15">
        <v>1712</v>
      </c>
      <c r="B15">
        <v>649</v>
      </c>
      <c r="C15">
        <v>343</v>
      </c>
      <c r="D15">
        <v>472</v>
      </c>
      <c r="E15">
        <v>486</v>
      </c>
      <c r="F15">
        <v>94</v>
      </c>
      <c r="H15">
        <v>1889</v>
      </c>
      <c r="I15">
        <v>536</v>
      </c>
      <c r="J15">
        <v>208</v>
      </c>
      <c r="K15">
        <v>176</v>
      </c>
      <c r="L15">
        <f>+'Company establishment'!B14</f>
        <v>632</v>
      </c>
      <c r="M15" s="32">
        <v>131.64787598079445</v>
      </c>
      <c r="O15" s="25">
        <f t="shared" si="7"/>
        <v>10503.513333333334</v>
      </c>
      <c r="Q15">
        <f t="shared" si="8"/>
        <v>2425</v>
      </c>
      <c r="R15">
        <f t="shared" si="9"/>
        <v>2809</v>
      </c>
      <c r="S15" s="25">
        <f t="shared" si="1"/>
        <v>1783.8239379903973</v>
      </c>
      <c r="T15" s="25">
        <f t="shared" si="2"/>
        <v>2807.6478759807942</v>
      </c>
      <c r="U15" s="25">
        <f t="shared" si="10"/>
        <v>4208.8239379903971</v>
      </c>
      <c r="V15" s="25">
        <f t="shared" si="11"/>
        <v>5616.6478759807942</v>
      </c>
      <c r="W15" s="25">
        <v>56.179999999999993</v>
      </c>
      <c r="X15" s="25">
        <f t="shared" si="3"/>
        <v>5672.8278759807945</v>
      </c>
      <c r="Y15" s="24">
        <f t="shared" si="4"/>
        <v>0.5001203675260637</v>
      </c>
      <c r="Z15" s="24">
        <f t="shared" si="5"/>
        <v>0.74934801520834893</v>
      </c>
      <c r="AA15" s="24">
        <f t="shared" si="12"/>
        <v>0.67248131007475975</v>
      </c>
      <c r="AB15" s="24">
        <f t="shared" si="13"/>
        <v>0.86329654681381274</v>
      </c>
      <c r="AD15" s="24">
        <f t="shared" si="16"/>
        <v>0.34274193548387094</v>
      </c>
      <c r="AE15" s="25">
        <f t="shared" si="6"/>
        <v>1925.0607639450302</v>
      </c>
      <c r="AF15" s="40">
        <f t="shared" si="15"/>
        <v>0.33934764213380963</v>
      </c>
      <c r="AG15" s="25">
        <f>+ships!G62</f>
        <v>500.19925753424656</v>
      </c>
      <c r="AI15" s="25">
        <f>+X15*0.597</f>
        <v>3386.6782419605343</v>
      </c>
      <c r="AJ15" s="25">
        <f>+'incomeVOC and total income'!Q14+'incomeVOC and total income'!M14+Population!M15</f>
        <v>1331.6478759807944</v>
      </c>
      <c r="AK15" s="25">
        <f>+X15-AI15-AJ15</f>
        <v>954.50175803946581</v>
      </c>
      <c r="AL15" s="24">
        <f>+AI15/X15</f>
        <v>0.59699999999999998</v>
      </c>
      <c r="AM15" s="24">
        <f>+AJ15/X15</f>
        <v>0.23474145612968406</v>
      </c>
      <c r="AN15" s="24">
        <f>+AK15/X15</f>
        <v>0.16825854387031597</v>
      </c>
    </row>
    <row r="16" spans="1:50" x14ac:dyDescent="0.2">
      <c r="A16">
        <v>1713</v>
      </c>
      <c r="B16">
        <v>627</v>
      </c>
      <c r="C16">
        <v>360</v>
      </c>
      <c r="D16">
        <v>495</v>
      </c>
      <c r="E16">
        <v>500</v>
      </c>
      <c r="F16">
        <v>99</v>
      </c>
      <c r="H16">
        <v>1742</v>
      </c>
      <c r="I16">
        <v>442</v>
      </c>
      <c r="J16">
        <v>162</v>
      </c>
      <c r="K16">
        <v>141</v>
      </c>
      <c r="L16">
        <f>+'Company establishment'!B15</f>
        <v>591</v>
      </c>
      <c r="M16" s="32">
        <v>124.56009598443733</v>
      </c>
      <c r="O16" s="25">
        <f t="shared" si="7"/>
        <v>9907.4066666666658</v>
      </c>
      <c r="Q16">
        <f t="shared" si="8"/>
        <v>2184</v>
      </c>
      <c r="R16">
        <f t="shared" si="9"/>
        <v>2487</v>
      </c>
      <c r="S16" s="25">
        <f t="shared" si="1"/>
        <v>1739.2800479922187</v>
      </c>
      <c r="T16" s="25">
        <f t="shared" si="2"/>
        <v>2796.5600959844373</v>
      </c>
      <c r="U16" s="25">
        <f t="shared" si="10"/>
        <v>3923.2800479922189</v>
      </c>
      <c r="V16" s="25">
        <f t="shared" si="11"/>
        <v>5283.5600959844378</v>
      </c>
      <c r="W16" s="25">
        <v>49.739999999999995</v>
      </c>
      <c r="X16" s="25">
        <f t="shared" si="3"/>
        <v>5333.3000959844376</v>
      </c>
      <c r="Y16" s="24">
        <f t="shared" si="4"/>
        <v>0.470705349200087</v>
      </c>
      <c r="Z16" s="24">
        <f t="shared" si="5"/>
        <v>0.74254479493361947</v>
      </c>
      <c r="AA16" s="24">
        <f t="shared" si="12"/>
        <v>0.7004422999597909</v>
      </c>
      <c r="AB16" s="24">
        <f t="shared" si="13"/>
        <v>0.87816646562123035</v>
      </c>
      <c r="AD16" s="24">
        <f t="shared" si="16"/>
        <v>0.34274193548387094</v>
      </c>
      <c r="AE16" s="25">
        <f t="shared" si="6"/>
        <v>1810.8976135430532</v>
      </c>
      <c r="AF16" s="40">
        <f t="shared" si="15"/>
        <v>0.33954541858736192</v>
      </c>
      <c r="AG16" s="25">
        <f>+ships!G63</f>
        <v>604</v>
      </c>
      <c r="AI16" s="25">
        <f>+X16*0.597</f>
        <v>3183.9801573027089</v>
      </c>
      <c r="AJ16" s="25">
        <f>+'incomeVOC and total income'!Q15+'incomeVOC and total income'!M15+Population!M16</f>
        <v>1156.5600959844373</v>
      </c>
      <c r="AK16" s="25">
        <f>+X16-AI16-AJ16</f>
        <v>992.75984269729133</v>
      </c>
      <c r="AL16" s="24">
        <f>+AI16/X16</f>
        <v>0.59699999999999998</v>
      </c>
      <c r="AM16" s="24">
        <f>+AJ16/X16</f>
        <v>0.21685636944660916</v>
      </c>
      <c r="AN16" s="24">
        <f>+AK16/X16</f>
        <v>0.18614363055339089</v>
      </c>
    </row>
    <row r="17" spans="1:40" x14ac:dyDescent="0.2">
      <c r="A17">
        <v>1714</v>
      </c>
      <c r="B17">
        <v>517</v>
      </c>
      <c r="C17">
        <v>286</v>
      </c>
      <c r="D17">
        <v>397</v>
      </c>
      <c r="E17">
        <v>385</v>
      </c>
      <c r="F17">
        <v>114</v>
      </c>
      <c r="H17">
        <v>1859</v>
      </c>
      <c r="I17">
        <v>484</v>
      </c>
      <c r="J17">
        <v>173</v>
      </c>
      <c r="K17">
        <v>145</v>
      </c>
      <c r="L17">
        <f>+'Company establishment'!B16</f>
        <v>654</v>
      </c>
      <c r="M17" s="32">
        <v>139.46456505338935</v>
      </c>
      <c r="O17" s="25">
        <f t="shared" si="7"/>
        <v>10128.886666666667</v>
      </c>
      <c r="Q17">
        <f t="shared" si="8"/>
        <v>2343</v>
      </c>
      <c r="R17">
        <f t="shared" si="9"/>
        <v>2661</v>
      </c>
      <c r="S17" s="25">
        <f t="shared" si="1"/>
        <v>1640.7322825266947</v>
      </c>
      <c r="T17" s="25">
        <f t="shared" si="2"/>
        <v>2492.4645650533894</v>
      </c>
      <c r="U17" s="25">
        <f t="shared" si="10"/>
        <v>3983.7322825266947</v>
      </c>
      <c r="V17" s="25">
        <f t="shared" si="11"/>
        <v>5153.4645650533894</v>
      </c>
      <c r="W17" s="25">
        <v>53.219999999999992</v>
      </c>
      <c r="X17" s="25">
        <f t="shared" si="3"/>
        <v>5206.6845650533896</v>
      </c>
      <c r="Y17" s="24">
        <f t="shared" si="4"/>
        <v>0.5163516633149553</v>
      </c>
      <c r="Z17" s="24">
        <f t="shared" si="5"/>
        <v>0.77302021431196621</v>
      </c>
      <c r="AA17" s="24">
        <f t="shared" si="12"/>
        <v>0.69860954528372787</v>
      </c>
      <c r="AB17" s="24">
        <f t="shared" si="13"/>
        <v>0.88049605411499432</v>
      </c>
      <c r="AD17" s="24">
        <f>1800/5327</f>
        <v>0.33790125774357049</v>
      </c>
      <c r="AE17" s="25">
        <f t="shared" si="6"/>
        <v>1741.3621582684627</v>
      </c>
      <c r="AF17" s="40">
        <f t="shared" si="15"/>
        <v>0.33444740823292157</v>
      </c>
      <c r="AG17" s="25">
        <f>+ships!G64</f>
        <v>589.11255890410962</v>
      </c>
      <c r="AI17" s="25">
        <f>+X17*0.597</f>
        <v>3108.3906853368735</v>
      </c>
      <c r="AJ17" s="25">
        <f>+'incomeVOC and total income'!Q16+'incomeVOC and total income'!M16+Population!M17</f>
        <v>1260.4645650533894</v>
      </c>
      <c r="AK17" s="25">
        <f>+X17-AI17-AJ17</f>
        <v>837.82931466312675</v>
      </c>
      <c r="AL17" s="24">
        <f>+AI17/X17</f>
        <v>0.59699999999999998</v>
      </c>
      <c r="AM17" s="24">
        <f>+AJ17/X17</f>
        <v>0.24208583203089901</v>
      </c>
      <c r="AN17" s="24">
        <f>+AK17/X17</f>
        <v>0.16091416796910102</v>
      </c>
    </row>
    <row r="18" spans="1:40" x14ac:dyDescent="0.2">
      <c r="A18">
        <v>1715</v>
      </c>
      <c r="B18">
        <v>552</v>
      </c>
      <c r="C18">
        <v>303</v>
      </c>
      <c r="D18">
        <v>401</v>
      </c>
      <c r="E18">
        <v>381</v>
      </c>
      <c r="F18">
        <v>86</v>
      </c>
      <c r="H18">
        <v>2225</v>
      </c>
      <c r="I18">
        <v>529</v>
      </c>
      <c r="J18">
        <v>179</v>
      </c>
      <c r="K18">
        <v>177</v>
      </c>
      <c r="L18">
        <f>+'Company establishment'!B17</f>
        <v>714</v>
      </c>
      <c r="M18" s="32">
        <v>154.05614113395691</v>
      </c>
      <c r="O18" s="25">
        <f t="shared" si="7"/>
        <v>11581.866666666667</v>
      </c>
      <c r="Q18">
        <f t="shared" si="8"/>
        <v>2754</v>
      </c>
      <c r="R18">
        <f t="shared" si="9"/>
        <v>3110</v>
      </c>
      <c r="S18" s="25">
        <f t="shared" si="1"/>
        <v>1732.0280705669784</v>
      </c>
      <c r="T18" s="25">
        <f t="shared" si="2"/>
        <v>2591.0561411339568</v>
      </c>
      <c r="U18" s="25">
        <f t="shared" si="10"/>
        <v>4486.0280705669784</v>
      </c>
      <c r="V18" s="25">
        <f t="shared" si="11"/>
        <v>5701.0561411339568</v>
      </c>
      <c r="W18" s="25">
        <v>62.199999999999989</v>
      </c>
      <c r="X18" s="25">
        <f t="shared" si="3"/>
        <v>5763.2561411339566</v>
      </c>
      <c r="Y18" s="24">
        <f t="shared" si="4"/>
        <v>0.54551295812733602</v>
      </c>
      <c r="Z18" s="24">
        <f t="shared" si="5"/>
        <v>0.78687666978046877</v>
      </c>
      <c r="AA18" s="24">
        <f t="shared" si="12"/>
        <v>0.71543408360128613</v>
      </c>
      <c r="AB18" s="24">
        <f t="shared" si="13"/>
        <v>0.88553054662379416</v>
      </c>
      <c r="AD18" s="24">
        <f>+AD17</f>
        <v>0.33790125774357049</v>
      </c>
      <c r="AE18" s="25">
        <f t="shared" si="6"/>
        <v>1926.3940405558706</v>
      </c>
      <c r="AF18" s="40">
        <f t="shared" si="15"/>
        <v>0.33425445501314133</v>
      </c>
      <c r="AG18" s="25">
        <f>+ships!G65</f>
        <v>841.49163287671229</v>
      </c>
      <c r="AI18" s="25">
        <f>+X18*0.597</f>
        <v>3440.6639162569718</v>
      </c>
      <c r="AJ18" s="25">
        <f>+'incomeVOC and total income'!Q17+'incomeVOC and total income'!M17+Population!M18</f>
        <v>1305.0561411339565</v>
      </c>
      <c r="AK18" s="25">
        <f>+X18-AI18-AJ18</f>
        <v>1017.5360837430283</v>
      </c>
      <c r="AL18" s="24">
        <f>+AI18/X18</f>
        <v>0.59699999999999998</v>
      </c>
      <c r="AM18" s="24">
        <f>+AJ18/X18</f>
        <v>0.22644423728097196</v>
      </c>
      <c r="AN18" s="24">
        <f>+AK18/X18</f>
        <v>0.17655576271902809</v>
      </c>
    </row>
    <row r="19" spans="1:40" x14ac:dyDescent="0.2">
      <c r="A19">
        <v>1716</v>
      </c>
      <c r="B19">
        <v>626</v>
      </c>
      <c r="C19">
        <v>351</v>
      </c>
      <c r="D19">
        <v>431</v>
      </c>
      <c r="E19">
        <v>420</v>
      </c>
      <c r="F19">
        <v>68</v>
      </c>
      <c r="H19">
        <v>2328</v>
      </c>
      <c r="I19">
        <v>565</v>
      </c>
      <c r="J19">
        <v>187</v>
      </c>
      <c r="K19">
        <v>170</v>
      </c>
      <c r="L19">
        <f>+'Company establishment'!B18</f>
        <v>711</v>
      </c>
      <c r="M19" s="32">
        <v>155.21907081110507</v>
      </c>
      <c r="O19" s="25">
        <f t="shared" si="7"/>
        <v>12091</v>
      </c>
      <c r="Q19">
        <f t="shared" si="8"/>
        <v>2893</v>
      </c>
      <c r="R19">
        <f t="shared" si="9"/>
        <v>3250</v>
      </c>
      <c r="S19" s="25">
        <f t="shared" si="1"/>
        <v>1833.6095354055526</v>
      </c>
      <c r="T19" s="25">
        <f t="shared" si="2"/>
        <v>2762.2190708111048</v>
      </c>
      <c r="U19" s="25">
        <f t="shared" si="10"/>
        <v>4726.6095354055524</v>
      </c>
      <c r="V19" s="25">
        <f t="shared" si="11"/>
        <v>6012.2190708111048</v>
      </c>
      <c r="W19" s="25">
        <v>64.999999999999986</v>
      </c>
      <c r="X19" s="25">
        <f t="shared" si="3"/>
        <v>6077.2190708111048</v>
      </c>
      <c r="Y19" s="24">
        <f t="shared" si="4"/>
        <v>0.54056579803928273</v>
      </c>
      <c r="Z19" s="24">
        <f t="shared" si="5"/>
        <v>0.7861672170851034</v>
      </c>
      <c r="AA19" s="24">
        <f t="shared" si="12"/>
        <v>0.71630769230769231</v>
      </c>
      <c r="AB19" s="24">
        <f t="shared" si="13"/>
        <v>0.89015384615384618</v>
      </c>
      <c r="AD19" s="24">
        <f t="shared" ref="AD19:AD81" si="17">+AD18</f>
        <v>0.33790125774357049</v>
      </c>
      <c r="AE19" s="25">
        <f t="shared" si="6"/>
        <v>2031.5363858569531</v>
      </c>
      <c r="AF19" s="40">
        <f t="shared" si="15"/>
        <v>0.33428717348933928</v>
      </c>
      <c r="AG19" s="25">
        <f>+ships!G66</f>
        <v>580.15656438356166</v>
      </c>
      <c r="AI19" s="25">
        <f>+X19*0.597</f>
        <v>3628.0997852742294</v>
      </c>
      <c r="AJ19" s="25">
        <f>+'incomeVOC and total income'!Q18+'incomeVOC and total income'!M18+Population!M19</f>
        <v>1339.06296275821</v>
      </c>
      <c r="AK19" s="25">
        <f>+X19-AI19-AJ19</f>
        <v>1110.0563227786654</v>
      </c>
      <c r="AL19" s="24">
        <f>+AI19/X19</f>
        <v>0.59699999999999998</v>
      </c>
      <c r="AM19" s="24">
        <f>+AJ19/X19</f>
        <v>0.2203414007551138</v>
      </c>
      <c r="AN19" s="24">
        <f>+AK19/X19</f>
        <v>0.18265859924488623</v>
      </c>
    </row>
    <row r="20" spans="1:40" x14ac:dyDescent="0.2">
      <c r="A20">
        <v>1717</v>
      </c>
      <c r="B20">
        <v>667</v>
      </c>
      <c r="C20">
        <v>372</v>
      </c>
      <c r="D20">
        <v>453</v>
      </c>
      <c r="E20">
        <v>436</v>
      </c>
      <c r="F20">
        <v>84</v>
      </c>
      <c r="H20">
        <v>2302</v>
      </c>
      <c r="I20">
        <v>541</v>
      </c>
      <c r="J20">
        <v>196</v>
      </c>
      <c r="K20">
        <v>172</v>
      </c>
      <c r="L20">
        <f>+'Company establishment'!B19</f>
        <v>744</v>
      </c>
      <c r="M20" s="32">
        <v>164.3399267931463</v>
      </c>
      <c r="O20" s="25">
        <f t="shared" si="7"/>
        <v>12229.553333333333</v>
      </c>
      <c r="Q20">
        <f t="shared" si="8"/>
        <v>2843</v>
      </c>
      <c r="R20">
        <f t="shared" si="9"/>
        <v>3211</v>
      </c>
      <c r="S20" s="25">
        <f t="shared" si="1"/>
        <v>1949.1699633965732</v>
      </c>
      <c r="T20" s="25">
        <f t="shared" si="2"/>
        <v>2920.3399267931463</v>
      </c>
      <c r="U20" s="25">
        <f t="shared" si="10"/>
        <v>4792.1699633965727</v>
      </c>
      <c r="V20" s="25">
        <f t="shared" si="11"/>
        <v>6131.3399267931463</v>
      </c>
      <c r="W20" s="25">
        <v>64.219999999999985</v>
      </c>
      <c r="X20" s="25">
        <f t="shared" si="3"/>
        <v>6195.5599267931466</v>
      </c>
      <c r="Y20" s="24">
        <f t="shared" si="4"/>
        <v>0.52370281836248445</v>
      </c>
      <c r="Z20" s="24">
        <f t="shared" si="5"/>
        <v>0.78158608405569263</v>
      </c>
      <c r="AA20" s="24">
        <f t="shared" si="12"/>
        <v>0.71691061974462789</v>
      </c>
      <c r="AB20" s="24">
        <f t="shared" si="13"/>
        <v>0.88539395826845224</v>
      </c>
      <c r="AD20" s="24">
        <f t="shared" si="17"/>
        <v>0.33790125774357049</v>
      </c>
      <c r="AE20" s="25">
        <f t="shared" si="6"/>
        <v>2071.7874729167756</v>
      </c>
      <c r="AF20" s="40">
        <f t="shared" si="15"/>
        <v>0.33439874642438383</v>
      </c>
      <c r="AG20" s="25">
        <f>+ships!G67</f>
        <v>870.15219999999988</v>
      </c>
      <c r="AI20" s="25">
        <f>+X20*0.597</f>
        <v>3698.7492762955085</v>
      </c>
      <c r="AJ20" s="25">
        <f>+'incomeVOC and total income'!Q19+'incomeVOC and total income'!M19+Population!M20</f>
        <v>1419.9677211905964</v>
      </c>
      <c r="AK20" s="25">
        <f>+X20-AI20-AJ20</f>
        <v>1076.8429293070417</v>
      </c>
      <c r="AL20" s="24">
        <f>+AI20/X20</f>
        <v>0.59699999999999998</v>
      </c>
      <c r="AM20" s="24">
        <f>+AJ20/X20</f>
        <v>0.22919118497261942</v>
      </c>
      <c r="AN20" s="24">
        <f>+AK20/X20</f>
        <v>0.1738088150273806</v>
      </c>
    </row>
    <row r="21" spans="1:40" x14ac:dyDescent="0.2">
      <c r="A21">
        <v>1718</v>
      </c>
      <c r="B21">
        <v>691</v>
      </c>
      <c r="C21">
        <v>390</v>
      </c>
      <c r="D21">
        <v>490</v>
      </c>
      <c r="E21">
        <v>482</v>
      </c>
      <c r="F21">
        <v>92</v>
      </c>
      <c r="H21">
        <v>2328</v>
      </c>
      <c r="I21">
        <v>562</v>
      </c>
      <c r="J21">
        <v>195</v>
      </c>
      <c r="K21">
        <v>176</v>
      </c>
      <c r="L21">
        <f>+'Company establishment'!B20</f>
        <v>756</v>
      </c>
      <c r="M21" s="32">
        <v>168.96105950881039</v>
      </c>
      <c r="O21" s="25">
        <f t="shared" si="7"/>
        <v>12490.22</v>
      </c>
      <c r="Q21">
        <f t="shared" si="8"/>
        <v>2890</v>
      </c>
      <c r="R21">
        <f t="shared" si="9"/>
        <v>3261</v>
      </c>
      <c r="S21" s="25">
        <f t="shared" si="1"/>
        <v>2013.4805297544051</v>
      </c>
      <c r="T21" s="25">
        <f t="shared" si="2"/>
        <v>3069.9610595088106</v>
      </c>
      <c r="U21" s="25">
        <f t="shared" si="10"/>
        <v>4903.4805297544053</v>
      </c>
      <c r="V21" s="25">
        <f t="shared" si="11"/>
        <v>6330.9610595088106</v>
      </c>
      <c r="W21" s="25">
        <v>65.219999999999985</v>
      </c>
      <c r="X21" s="25">
        <f t="shared" si="3"/>
        <v>6396.1810595088109</v>
      </c>
      <c r="Y21" s="24">
        <f t="shared" si="4"/>
        <v>0.51508767300063063</v>
      </c>
      <c r="Z21" s="24">
        <f t="shared" si="5"/>
        <v>0.77452388091845936</v>
      </c>
      <c r="AA21" s="24">
        <f t="shared" si="12"/>
        <v>0.71389144434222629</v>
      </c>
      <c r="AB21" s="24">
        <f t="shared" si="13"/>
        <v>0.88623121741796995</v>
      </c>
      <c r="AD21" s="24">
        <f t="shared" si="17"/>
        <v>0.33790125774357049</v>
      </c>
      <c r="AE21" s="25">
        <f t="shared" si="6"/>
        <v>2139.2397047335949</v>
      </c>
      <c r="AF21" s="40">
        <f t="shared" si="15"/>
        <v>0.33445577678782529</v>
      </c>
      <c r="AG21" s="25">
        <f>+ships!G68</f>
        <v>778.14309041095896</v>
      </c>
      <c r="AI21" s="25">
        <f>+X21*0.597</f>
        <v>3818.52009252676</v>
      </c>
      <c r="AJ21" s="25">
        <f>+'incomeVOC and total income'!Q20+'incomeVOC and total income'!M20+Population!M21</f>
        <v>1478.5539142712903</v>
      </c>
      <c r="AK21" s="25">
        <f>+X21-AI21-AJ21</f>
        <v>1099.1070527107606</v>
      </c>
      <c r="AL21" s="24">
        <f>+AI21/X21</f>
        <v>0.59699999999999998</v>
      </c>
      <c r="AM21" s="24">
        <f>+AJ21/X21</f>
        <v>0.23116198564660934</v>
      </c>
      <c r="AN21" s="24">
        <f>+AK21/X21</f>
        <v>0.17183801435339069</v>
      </c>
    </row>
    <row r="22" spans="1:40" x14ac:dyDescent="0.2">
      <c r="A22">
        <v>1719</v>
      </c>
      <c r="B22">
        <v>781</v>
      </c>
      <c r="C22">
        <v>412</v>
      </c>
      <c r="D22">
        <v>497</v>
      </c>
      <c r="E22">
        <v>508</v>
      </c>
      <c r="F22">
        <v>88</v>
      </c>
      <c r="H22">
        <v>2321</v>
      </c>
      <c r="I22">
        <v>554</v>
      </c>
      <c r="J22">
        <v>207</v>
      </c>
      <c r="K22">
        <v>172</v>
      </c>
      <c r="L22">
        <f>+'Company establishment'!B21</f>
        <v>736</v>
      </c>
      <c r="M22" s="32">
        <v>166.43218625410921</v>
      </c>
      <c r="O22" s="25">
        <f t="shared" si="7"/>
        <v>12541.080000000002</v>
      </c>
      <c r="Q22">
        <f t="shared" si="8"/>
        <v>2875</v>
      </c>
      <c r="R22">
        <f t="shared" si="9"/>
        <v>3254</v>
      </c>
      <c r="S22" s="25">
        <f t="shared" si="1"/>
        <v>2100.2160931270546</v>
      </c>
      <c r="T22" s="25">
        <f t="shared" si="2"/>
        <v>3188.4321862541092</v>
      </c>
      <c r="U22" s="25">
        <f t="shared" si="10"/>
        <v>4975.2160931270546</v>
      </c>
      <c r="V22" s="25">
        <f t="shared" si="11"/>
        <v>6442.4321862541092</v>
      </c>
      <c r="W22" s="25">
        <v>65.079999999999984</v>
      </c>
      <c r="X22" s="25">
        <f t="shared" si="3"/>
        <v>6507.5121862541091</v>
      </c>
      <c r="Y22" s="24">
        <f t="shared" si="4"/>
        <v>0.50508874690879868</v>
      </c>
      <c r="Z22" s="24">
        <f t="shared" si="5"/>
        <v>0.77225742534666031</v>
      </c>
      <c r="AA22" s="24">
        <f t="shared" si="12"/>
        <v>0.71327596803933624</v>
      </c>
      <c r="AB22" s="24">
        <f t="shared" si="13"/>
        <v>0.88352796558082358</v>
      </c>
      <c r="AD22" s="24">
        <f>2100/6165</f>
        <v>0.34063260340632601</v>
      </c>
      <c r="AE22" s="25">
        <f t="shared" si="6"/>
        <v>2194.5024478724458</v>
      </c>
      <c r="AF22" s="40">
        <f t="shared" si="15"/>
        <v>0.33722602202849777</v>
      </c>
      <c r="AG22" s="25">
        <f>+ships!G69</f>
        <v>893.97260273972597</v>
      </c>
      <c r="AI22" s="25">
        <f>+X22*0.597</f>
        <v>3884.9847751937032</v>
      </c>
      <c r="AJ22" s="25">
        <f>+'incomeVOC and total income'!Q21+'incomeVOC and total income'!M21+Population!M22</f>
        <v>1501.4321862541085</v>
      </c>
      <c r="AK22" s="25">
        <f>+X22-AI22-AJ22</f>
        <v>1121.0952248062974</v>
      </c>
      <c r="AL22" s="24">
        <f>+AI22/X22</f>
        <v>0.59699999999999998</v>
      </c>
      <c r="AM22" s="24">
        <f>+AJ22/X22</f>
        <v>0.23072291580576684</v>
      </c>
      <c r="AN22" s="24">
        <f>+AK22/X22</f>
        <v>0.17227708419423315</v>
      </c>
    </row>
    <row r="23" spans="1:40" x14ac:dyDescent="0.2">
      <c r="A23">
        <v>1720</v>
      </c>
      <c r="B23">
        <v>653</v>
      </c>
      <c r="C23">
        <v>402</v>
      </c>
      <c r="D23">
        <v>494</v>
      </c>
      <c r="E23">
        <v>514</v>
      </c>
      <c r="F23">
        <v>83</v>
      </c>
      <c r="H23">
        <v>2349</v>
      </c>
      <c r="I23">
        <v>568</v>
      </c>
      <c r="J23">
        <v>195</v>
      </c>
      <c r="K23">
        <v>187</v>
      </c>
      <c r="L23">
        <f>+'Company establishment'!B22</f>
        <v>800</v>
      </c>
      <c r="M23" s="32">
        <v>183.0392239694649</v>
      </c>
      <c r="O23" s="25">
        <f t="shared" si="7"/>
        <v>12708.646666666666</v>
      </c>
      <c r="Q23">
        <f t="shared" si="8"/>
        <v>2917</v>
      </c>
      <c r="R23">
        <f t="shared" si="9"/>
        <v>3299</v>
      </c>
      <c r="S23" s="25">
        <f t="shared" si="1"/>
        <v>2029.5196119847324</v>
      </c>
      <c r="T23" s="25">
        <f t="shared" si="2"/>
        <v>3129.0392239694647</v>
      </c>
      <c r="U23" s="25">
        <f t="shared" si="10"/>
        <v>4946.5196119847324</v>
      </c>
      <c r="V23" s="25">
        <f t="shared" si="11"/>
        <v>6428.0392239694647</v>
      </c>
      <c r="W23" s="25">
        <v>65.97999999999999</v>
      </c>
      <c r="X23" s="25">
        <f t="shared" si="3"/>
        <v>6494.0192239694643</v>
      </c>
      <c r="Y23" s="24">
        <f t="shared" si="4"/>
        <v>0.51322026594025516</v>
      </c>
      <c r="Z23" s="24">
        <f t="shared" si="5"/>
        <v>0.76952231304682994</v>
      </c>
      <c r="AA23" s="24">
        <f t="shared" si="12"/>
        <v>0.71203394968172173</v>
      </c>
      <c r="AB23" s="24">
        <f t="shared" si="13"/>
        <v>0.88420733555622921</v>
      </c>
      <c r="AD23" s="24">
        <f t="shared" si="17"/>
        <v>0.34063260340632601</v>
      </c>
      <c r="AE23" s="25">
        <f t="shared" si="6"/>
        <v>2189.5997356586981</v>
      </c>
      <c r="AF23" s="40">
        <f t="shared" si="15"/>
        <v>0.33717173604550971</v>
      </c>
      <c r="AG23" s="25">
        <f>+ships!G70</f>
        <v>941.3628493150685</v>
      </c>
      <c r="AI23" s="25">
        <f>+X23*0.597</f>
        <v>3876.9294767097699</v>
      </c>
      <c r="AJ23" s="25">
        <f>+'incomeVOC and total income'!Q22+'incomeVOC and total income'!M22+Population!M23</f>
        <v>1477.039223969465</v>
      </c>
      <c r="AK23" s="25">
        <f>+X23-AI23-AJ23</f>
        <v>1140.0505232902294</v>
      </c>
      <c r="AL23" s="24">
        <f>+AI23/X23</f>
        <v>0.59699999999999998</v>
      </c>
      <c r="AM23" s="24">
        <f>+AJ23/X23</f>
        <v>0.22744608123697943</v>
      </c>
      <c r="AN23" s="24">
        <f>+AK23/X23</f>
        <v>0.17555391876302059</v>
      </c>
    </row>
    <row r="24" spans="1:40" x14ac:dyDescent="0.2">
      <c r="A24">
        <v>1721</v>
      </c>
      <c r="B24">
        <v>639</v>
      </c>
      <c r="C24">
        <v>410</v>
      </c>
      <c r="D24">
        <v>516</v>
      </c>
      <c r="E24">
        <v>536</v>
      </c>
      <c r="F24">
        <v>92</v>
      </c>
      <c r="H24">
        <v>2430</v>
      </c>
      <c r="I24">
        <v>618</v>
      </c>
      <c r="J24">
        <v>219</v>
      </c>
      <c r="K24">
        <v>208</v>
      </c>
      <c r="L24">
        <f>+'Company establishment'!B23</f>
        <v>794</v>
      </c>
      <c r="M24" s="32">
        <v>183.81009366121231</v>
      </c>
      <c r="O24" s="25">
        <f t="shared" si="7"/>
        <v>13009.166666666664</v>
      </c>
      <c r="Q24">
        <f t="shared" si="8"/>
        <v>3048</v>
      </c>
      <c r="R24">
        <f t="shared" si="9"/>
        <v>3475</v>
      </c>
      <c r="S24" s="25">
        <f t="shared" si="1"/>
        <v>2026.9050468306061</v>
      </c>
      <c r="T24" s="25">
        <f t="shared" si="2"/>
        <v>3170.8100936612122</v>
      </c>
      <c r="U24" s="25">
        <f t="shared" si="10"/>
        <v>5074.9050468306059</v>
      </c>
      <c r="V24" s="25">
        <f t="shared" si="11"/>
        <v>6645.8100936612118</v>
      </c>
      <c r="W24" s="25">
        <v>69.499999999999986</v>
      </c>
      <c r="X24" s="25">
        <f t="shared" si="3"/>
        <v>6715.3100936612118</v>
      </c>
      <c r="Y24" s="24">
        <f t="shared" si="4"/>
        <v>0.52288584100747371</v>
      </c>
      <c r="Z24" s="24">
        <f t="shared" si="5"/>
        <v>0.76362474631513488</v>
      </c>
      <c r="AA24" s="24">
        <f t="shared" si="12"/>
        <v>0.69928057553956835</v>
      </c>
      <c r="AB24" s="24">
        <f t="shared" si="13"/>
        <v>0.87712230215827336</v>
      </c>
      <c r="AD24" s="24">
        <f t="shared" si="17"/>
        <v>0.34063260340632601</v>
      </c>
      <c r="AE24" s="25">
        <f t="shared" si="6"/>
        <v>2263.7795939478578</v>
      </c>
      <c r="AF24" s="40">
        <f t="shared" si="15"/>
        <v>0.3371072314418822</v>
      </c>
      <c r="AG24" s="25">
        <f>+ships!G71</f>
        <v>1102.3013698630136</v>
      </c>
      <c r="AI24" s="25">
        <f>+X24*0.597</f>
        <v>4009.0401259157434</v>
      </c>
      <c r="AJ24" s="25">
        <f>+'incomeVOC and total income'!Q23+'incomeVOC and total income'!M23+Population!M24</f>
        <v>1494.8100936612122</v>
      </c>
      <c r="AK24" s="25">
        <f>+X24-AI24-AJ24</f>
        <v>1211.4598740842562</v>
      </c>
      <c r="AL24" s="24">
        <f>+AI24/X24</f>
        <v>0.59699999999999998</v>
      </c>
      <c r="AM24" s="24">
        <f>+AJ24/X24</f>
        <v>0.22259732950712277</v>
      </c>
      <c r="AN24" s="24">
        <f>+AK24/X24</f>
        <v>0.18040267049287723</v>
      </c>
    </row>
    <row r="25" spans="1:40" x14ac:dyDescent="0.2">
      <c r="A25">
        <v>1722</v>
      </c>
      <c r="B25">
        <v>644</v>
      </c>
      <c r="C25">
        <v>420</v>
      </c>
      <c r="D25">
        <v>516</v>
      </c>
      <c r="E25">
        <v>538</v>
      </c>
      <c r="F25">
        <v>98</v>
      </c>
      <c r="H25">
        <v>2686</v>
      </c>
      <c r="I25">
        <v>679</v>
      </c>
      <c r="J25">
        <v>215</v>
      </c>
      <c r="K25">
        <v>220</v>
      </c>
      <c r="L25">
        <f>+'Company establishment'!B24</f>
        <v>831</v>
      </c>
      <c r="M25" s="32">
        <v>194.64558293311151</v>
      </c>
      <c r="O25" s="25">
        <f t="shared" si="7"/>
        <v>14015.333333333336</v>
      </c>
      <c r="Q25">
        <f t="shared" si="8"/>
        <v>3365</v>
      </c>
      <c r="R25">
        <f t="shared" si="9"/>
        <v>3800</v>
      </c>
      <c r="S25" s="25">
        <f t="shared" si="1"/>
        <v>2090.3227914665558</v>
      </c>
      <c r="T25" s="25">
        <f t="shared" si="2"/>
        <v>3241.6455829331117</v>
      </c>
      <c r="U25" s="25">
        <f t="shared" si="10"/>
        <v>5455.3227914665558</v>
      </c>
      <c r="V25" s="25">
        <f t="shared" si="11"/>
        <v>7041.6455829331117</v>
      </c>
      <c r="W25" s="25">
        <v>75.999999999999986</v>
      </c>
      <c r="X25" s="25">
        <f t="shared" si="3"/>
        <v>7117.6455829331117</v>
      </c>
      <c r="Y25" s="24">
        <f t="shared" si="4"/>
        <v>0.53964658619145611</v>
      </c>
      <c r="Z25" s="24">
        <f t="shared" si="5"/>
        <v>0.77472271604930842</v>
      </c>
      <c r="AA25" s="24">
        <f t="shared" si="12"/>
        <v>0.70684210526315794</v>
      </c>
      <c r="AB25" s="24">
        <f t="shared" si="13"/>
        <v>0.88552631578947372</v>
      </c>
      <c r="AD25" s="24">
        <f t="shared" si="17"/>
        <v>0.34063260340632601</v>
      </c>
      <c r="AE25" s="25">
        <f t="shared" si="6"/>
        <v>2398.6140671791618</v>
      </c>
      <c r="AF25" s="40">
        <f t="shared" si="15"/>
        <v>0.33699543468849097</v>
      </c>
      <c r="AG25" s="25">
        <f>+ships!G72</f>
        <v>875.3424301369862</v>
      </c>
      <c r="AI25" s="25">
        <f>+X25*0.597</f>
        <v>4249.2344130110678</v>
      </c>
      <c r="AJ25" s="25">
        <f>+'incomeVOC and total income'!Q24+'incomeVOC and total income'!M24+Population!M25</f>
        <v>1560.6455829331114</v>
      </c>
      <c r="AK25" s="25">
        <f>+X25-AI25-AJ25</f>
        <v>1307.7655869889325</v>
      </c>
      <c r="AL25" s="24">
        <f>+AI25/X25</f>
        <v>0.59699999999999998</v>
      </c>
      <c r="AM25" s="24">
        <f>+AJ25/X25</f>
        <v>0.21926430091929144</v>
      </c>
      <c r="AN25" s="24">
        <f>+AK25/X25</f>
        <v>0.18373569908070853</v>
      </c>
    </row>
    <row r="26" spans="1:40" x14ac:dyDescent="0.2">
      <c r="A26">
        <v>1723</v>
      </c>
      <c r="B26">
        <v>679</v>
      </c>
      <c r="C26">
        <v>433</v>
      </c>
      <c r="D26">
        <v>544</v>
      </c>
      <c r="E26">
        <v>589</v>
      </c>
      <c r="F26">
        <v>119</v>
      </c>
      <c r="H26">
        <v>2879</v>
      </c>
      <c r="I26">
        <v>731</v>
      </c>
      <c r="J26">
        <v>236</v>
      </c>
      <c r="K26">
        <v>223</v>
      </c>
      <c r="L26">
        <f>+'Company establishment'!B25</f>
        <v>814</v>
      </c>
      <c r="M26" s="32">
        <v>192.91349489860639</v>
      </c>
      <c r="O26" s="25">
        <f t="shared" si="7"/>
        <v>14755.380000000001</v>
      </c>
      <c r="Q26">
        <f t="shared" si="8"/>
        <v>3610</v>
      </c>
      <c r="R26">
        <f t="shared" si="9"/>
        <v>4069</v>
      </c>
      <c r="S26" s="25">
        <f t="shared" si="1"/>
        <v>2141.4567474493033</v>
      </c>
      <c r="T26" s="25">
        <f t="shared" si="2"/>
        <v>3370.9134948986066</v>
      </c>
      <c r="U26" s="25">
        <f t="shared" si="10"/>
        <v>5751.4567474493033</v>
      </c>
      <c r="V26" s="25">
        <f t="shared" si="11"/>
        <v>7439.9134948986066</v>
      </c>
      <c r="W26" s="25">
        <v>81.379999999999981</v>
      </c>
      <c r="X26" s="25">
        <f t="shared" si="3"/>
        <v>7521.2934948986067</v>
      </c>
      <c r="Y26" s="24">
        <f t="shared" si="4"/>
        <v>0.5469149611470655</v>
      </c>
      <c r="Z26" s="24">
        <f t="shared" si="5"/>
        <v>0.7730542500787082</v>
      </c>
      <c r="AA26" s="24">
        <f t="shared" si="12"/>
        <v>0.70754485131481937</v>
      </c>
      <c r="AB26" s="24">
        <f t="shared" si="13"/>
        <v>0.88719587122143029</v>
      </c>
      <c r="AD26" s="24">
        <f t="shared" si="17"/>
        <v>0.34063260340632601</v>
      </c>
      <c r="AE26" s="25">
        <f t="shared" si="6"/>
        <v>2534.2771028851698</v>
      </c>
      <c r="AF26" s="40">
        <f t="shared" si="15"/>
        <v>0.33694697655450739</v>
      </c>
      <c r="AG26" s="25">
        <f>+ships!G73</f>
        <v>810.26443835616442</v>
      </c>
      <c r="AI26" s="25">
        <f>+X26*0.597</f>
        <v>4490.212216454468</v>
      </c>
      <c r="AJ26" s="25">
        <f>+'incomeVOC and total income'!Q25+'incomeVOC and total income'!M25+Population!M26</f>
        <v>1559.9134948986064</v>
      </c>
      <c r="AK26" s="25">
        <f>+X26-AI26-AJ26</f>
        <v>1471.1677835455323</v>
      </c>
      <c r="AL26" s="24">
        <f>+AI26/X26</f>
        <v>0.59699999999999998</v>
      </c>
      <c r="AM26" s="24">
        <f>+AJ26/X26</f>
        <v>0.20739963092207922</v>
      </c>
      <c r="AN26" s="24">
        <f>+AK26/X26</f>
        <v>0.1956003690779208</v>
      </c>
    </row>
    <row r="27" spans="1:40" x14ac:dyDescent="0.2">
      <c r="A27">
        <v>1724</v>
      </c>
      <c r="B27">
        <v>706</v>
      </c>
      <c r="C27">
        <v>450</v>
      </c>
      <c r="D27">
        <v>577</v>
      </c>
      <c r="E27">
        <v>599</v>
      </c>
      <c r="F27">
        <v>116</v>
      </c>
      <c r="H27">
        <v>3204</v>
      </c>
      <c r="I27">
        <v>796</v>
      </c>
      <c r="J27">
        <v>259</v>
      </c>
      <c r="K27">
        <v>226</v>
      </c>
      <c r="L27">
        <f>+'Company establishment'!B26</f>
        <v>829</v>
      </c>
      <c r="M27" s="32">
        <v>198.78673914096049</v>
      </c>
      <c r="O27" s="25">
        <f t="shared" si="7"/>
        <v>15981.033333333333</v>
      </c>
      <c r="Q27">
        <f t="shared" si="8"/>
        <v>4000</v>
      </c>
      <c r="R27">
        <f t="shared" si="9"/>
        <v>4485</v>
      </c>
      <c r="S27" s="25">
        <f t="shared" si="1"/>
        <v>2200.3933695704804</v>
      </c>
      <c r="T27" s="25">
        <f t="shared" si="2"/>
        <v>3475.7867391409609</v>
      </c>
      <c r="U27" s="25">
        <f t="shared" si="10"/>
        <v>6200.39336957048</v>
      </c>
      <c r="V27" s="25">
        <f t="shared" si="11"/>
        <v>7960.7867391409609</v>
      </c>
      <c r="W27" s="25">
        <v>89.699999999999989</v>
      </c>
      <c r="X27" s="25">
        <f t="shared" si="3"/>
        <v>8050.4867391409607</v>
      </c>
      <c r="Y27" s="24">
        <f t="shared" si="4"/>
        <v>0.56338652786018117</v>
      </c>
      <c r="Z27" s="24">
        <f t="shared" si="5"/>
        <v>0.77886691011139397</v>
      </c>
      <c r="AA27" s="24">
        <f t="shared" si="12"/>
        <v>0.71438127090301007</v>
      </c>
      <c r="AB27" s="24">
        <f t="shared" si="13"/>
        <v>0.89186176142697882</v>
      </c>
      <c r="AD27" s="24">
        <f>2600/7796</f>
        <v>0.3335043612108774</v>
      </c>
      <c r="AE27" s="25">
        <f t="shared" si="6"/>
        <v>2654.9570961732297</v>
      </c>
      <c r="AF27" s="40">
        <f t="shared" si="15"/>
        <v>0.32978839444141872</v>
      </c>
      <c r="AG27" s="25">
        <f>+ships!G74</f>
        <v>653.92932876712337</v>
      </c>
      <c r="AI27" s="25">
        <f>+X27*0.597</f>
        <v>4806.1405832671535</v>
      </c>
      <c r="AJ27" s="25">
        <f>+'incomeVOC and total income'!Q26+'incomeVOC and total income'!M26+Population!M27</f>
        <v>1607.7867391409604</v>
      </c>
      <c r="AK27" s="25">
        <f>+X27-AI27-AJ27</f>
        <v>1636.5594167328468</v>
      </c>
      <c r="AL27" s="24">
        <f>+AI27/X27</f>
        <v>0.59699999999999998</v>
      </c>
      <c r="AM27" s="24">
        <f>+AJ27/X27</f>
        <v>0.19971298521914238</v>
      </c>
      <c r="AN27" s="24">
        <f>+AK27/X27</f>
        <v>0.20328701478085762</v>
      </c>
    </row>
    <row r="28" spans="1:40" x14ac:dyDescent="0.2">
      <c r="A28">
        <v>1725</v>
      </c>
      <c r="B28">
        <v>722</v>
      </c>
      <c r="C28">
        <v>474</v>
      </c>
      <c r="D28">
        <v>614</v>
      </c>
      <c r="E28">
        <v>654</v>
      </c>
      <c r="F28">
        <v>128</v>
      </c>
      <c r="H28">
        <v>3345</v>
      </c>
      <c r="I28">
        <v>859</v>
      </c>
      <c r="J28">
        <v>275</v>
      </c>
      <c r="K28">
        <v>245</v>
      </c>
      <c r="L28">
        <f>+'Company establishment'!B27</f>
        <v>731</v>
      </c>
      <c r="M28" s="32">
        <v>177.35561033356359</v>
      </c>
      <c r="O28" s="25">
        <f t="shared" si="7"/>
        <v>16273.146666666667</v>
      </c>
      <c r="Q28">
        <f t="shared" si="8"/>
        <v>4204</v>
      </c>
      <c r="R28">
        <f t="shared" si="9"/>
        <v>4724</v>
      </c>
      <c r="S28" s="25">
        <f t="shared" si="1"/>
        <v>2143.6778051667816</v>
      </c>
      <c r="T28" s="25">
        <f t="shared" si="2"/>
        <v>3500.3556103335632</v>
      </c>
      <c r="U28" s="25">
        <f t="shared" si="10"/>
        <v>6347.6778051667816</v>
      </c>
      <c r="V28" s="25">
        <f t="shared" si="11"/>
        <v>8224.3556103335632</v>
      </c>
      <c r="W28" s="25">
        <v>94.47999999999999</v>
      </c>
      <c r="X28" s="25">
        <f t="shared" si="3"/>
        <v>8318.8356103335627</v>
      </c>
      <c r="Y28" s="24">
        <f t="shared" si="4"/>
        <v>0.57439150540432482</v>
      </c>
      <c r="Z28" s="24">
        <f t="shared" si="5"/>
        <v>0.7718146084528722</v>
      </c>
      <c r="AA28" s="24">
        <f t="shared" si="12"/>
        <v>0.70808636748518206</v>
      </c>
      <c r="AB28" s="24">
        <f t="shared" si="13"/>
        <v>0.8899237933954276</v>
      </c>
      <c r="AD28" s="24">
        <f t="shared" si="17"/>
        <v>0.3335043612108774</v>
      </c>
      <c r="AE28" s="25">
        <f t="shared" si="6"/>
        <v>2742.8584641953908</v>
      </c>
      <c r="AF28" s="40">
        <f t="shared" si="15"/>
        <v>0.32971663255230615</v>
      </c>
      <c r="AG28" s="25">
        <f>+ships!G75</f>
        <v>526.64839452054798</v>
      </c>
      <c r="AI28" s="25">
        <f>+X28*0.597</f>
        <v>4966.3448593691364</v>
      </c>
      <c r="AJ28" s="25">
        <f>+'incomeVOC and total income'!Q27+'incomeVOC and total income'!M27+Population!M28</f>
        <v>1530.3556103335636</v>
      </c>
      <c r="AK28" s="25">
        <f>+X28-AI28-AJ28</f>
        <v>1822.1351406308627</v>
      </c>
      <c r="AL28" s="24">
        <f>+AI28/X28</f>
        <v>0.59699999999999998</v>
      </c>
      <c r="AM28" s="24">
        <f>+AJ28/X28</f>
        <v>0.18396271810354964</v>
      </c>
      <c r="AN28" s="24">
        <f>+AK28/X28</f>
        <v>0.21903728189645041</v>
      </c>
    </row>
    <row r="29" spans="1:40" x14ac:dyDescent="0.2">
      <c r="A29">
        <v>1726</v>
      </c>
      <c r="B29">
        <v>723</v>
      </c>
      <c r="C29">
        <v>481</v>
      </c>
      <c r="D29">
        <v>643</v>
      </c>
      <c r="E29">
        <v>696</v>
      </c>
      <c r="F29">
        <v>107</v>
      </c>
      <c r="H29">
        <v>3512</v>
      </c>
      <c r="I29">
        <v>911</v>
      </c>
      <c r="J29">
        <v>310</v>
      </c>
      <c r="K29">
        <v>260</v>
      </c>
      <c r="L29">
        <f>+'Company establishment'!B28</f>
        <v>787</v>
      </c>
      <c r="M29" s="32">
        <v>193.19548008678279</v>
      </c>
      <c r="O29" s="25">
        <f t="shared" si="7"/>
        <v>17125.250909090912</v>
      </c>
      <c r="Q29">
        <f t="shared" si="8"/>
        <v>4423</v>
      </c>
      <c r="R29">
        <f t="shared" si="9"/>
        <v>4993</v>
      </c>
      <c r="S29" s="25">
        <f t="shared" si="1"/>
        <v>2194.5977400433912</v>
      </c>
      <c r="T29" s="25">
        <f t="shared" si="2"/>
        <v>3630.1954800867825</v>
      </c>
      <c r="U29" s="25">
        <f t="shared" si="10"/>
        <v>6617.5977400433912</v>
      </c>
      <c r="V29" s="25">
        <f t="shared" si="11"/>
        <v>8623.1954800867825</v>
      </c>
      <c r="W29" s="25">
        <v>145.25090909090906</v>
      </c>
      <c r="X29" s="25">
        <f t="shared" si="3"/>
        <v>8768.4463891776923</v>
      </c>
      <c r="Y29" s="24">
        <f t="shared" si="4"/>
        <v>0.57901969305116008</v>
      </c>
      <c r="Z29" s="24">
        <f t="shared" si="5"/>
        <v>0.76741826801040958</v>
      </c>
      <c r="AA29" s="24">
        <f t="shared" si="12"/>
        <v>0.70338473863408768</v>
      </c>
      <c r="AB29" s="24">
        <f t="shared" si="13"/>
        <v>0.88584017624674549</v>
      </c>
      <c r="AD29" s="24">
        <f t="shared" si="17"/>
        <v>0.3335043612108774</v>
      </c>
      <c r="AE29" s="25">
        <f t="shared" si="6"/>
        <v>2875.8733001828678</v>
      </c>
      <c r="AF29" s="40">
        <f t="shared" si="15"/>
        <v>0.32797980081538347</v>
      </c>
      <c r="AG29" s="25">
        <f>+ships!G76</f>
        <v>725.43731506849315</v>
      </c>
      <c r="AI29" s="25">
        <f>+X29*0.597</f>
        <v>5234.762494339082</v>
      </c>
      <c r="AJ29" s="25">
        <f>+'incomeVOC and total income'!Q28+'incomeVOC and total income'!M28+Population!M29</f>
        <v>1644.1954800867827</v>
      </c>
      <c r="AK29" s="25">
        <f>+X29-AI29-AJ29</f>
        <v>1889.4884147518276</v>
      </c>
      <c r="AL29" s="24">
        <f>+AI29/X29</f>
        <v>0.59699999999999998</v>
      </c>
      <c r="AM29" s="24">
        <f>+AJ29/X29</f>
        <v>0.18751274822368799</v>
      </c>
      <c r="AN29" s="24">
        <f>+AK29/X29</f>
        <v>0.21548725177631203</v>
      </c>
    </row>
    <row r="30" spans="1:40" x14ac:dyDescent="0.2">
      <c r="A30">
        <v>1727</v>
      </c>
      <c r="B30">
        <v>763</v>
      </c>
      <c r="C30">
        <v>488</v>
      </c>
      <c r="D30">
        <v>683</v>
      </c>
      <c r="E30">
        <v>750</v>
      </c>
      <c r="F30">
        <v>105</v>
      </c>
      <c r="H30">
        <v>3449</v>
      </c>
      <c r="I30">
        <v>923</v>
      </c>
      <c r="J30">
        <v>315</v>
      </c>
      <c r="K30">
        <v>287</v>
      </c>
      <c r="L30">
        <f>+'Company establishment'!B29</f>
        <v>981</v>
      </c>
      <c r="M30" s="32">
        <v>243.66093799685197</v>
      </c>
      <c r="O30" s="25">
        <f t="shared" si="7"/>
        <v>17745.583030303031</v>
      </c>
      <c r="Q30">
        <f t="shared" si="8"/>
        <v>4372</v>
      </c>
      <c r="R30">
        <f t="shared" si="9"/>
        <v>4974</v>
      </c>
      <c r="S30" s="25">
        <f t="shared" si="1"/>
        <v>2458.8304689984261</v>
      </c>
      <c r="T30" s="25">
        <f t="shared" si="2"/>
        <v>4013.6609379968522</v>
      </c>
      <c r="U30" s="25">
        <f t="shared" si="10"/>
        <v>6830.8304689984261</v>
      </c>
      <c r="V30" s="25">
        <f t="shared" si="11"/>
        <v>8987.6609379968522</v>
      </c>
      <c r="W30" s="25">
        <v>189.91636363636363</v>
      </c>
      <c r="X30" s="25">
        <f t="shared" si="3"/>
        <v>9177.577301633215</v>
      </c>
      <c r="Y30" s="24">
        <f t="shared" si="4"/>
        <v>0.55342541672567735</v>
      </c>
      <c r="Z30" s="24">
        <f t="shared" si="5"/>
        <v>0.76002316021067706</v>
      </c>
      <c r="AA30" s="24">
        <f t="shared" si="12"/>
        <v>0.69340570969039006</v>
      </c>
      <c r="AB30" s="24">
        <f t="shared" si="13"/>
        <v>0.87897064736630481</v>
      </c>
      <c r="AD30" s="24">
        <f t="shared" si="17"/>
        <v>0.3335043612108774</v>
      </c>
      <c r="AE30" s="25">
        <f t="shared" si="6"/>
        <v>2997.4241199065955</v>
      </c>
      <c r="AF30" s="40">
        <f t="shared" si="15"/>
        <v>0.32660298261646703</v>
      </c>
      <c r="AG30" s="25">
        <f>+ships!G77</f>
        <v>599.12040547945207</v>
      </c>
      <c r="AI30" s="25">
        <f>+X30*0.597</f>
        <v>5479.0136490750292</v>
      </c>
      <c r="AJ30" s="25">
        <f>+'incomeVOC and total income'!Q29+'incomeVOC and total income'!M29+Population!M30</f>
        <v>1925.660937996852</v>
      </c>
      <c r="AK30" s="25">
        <f>+X30-AI30-AJ30</f>
        <v>1772.9027145613338</v>
      </c>
      <c r="AL30" s="24">
        <f>+AI30/X30</f>
        <v>0.59699999999999998</v>
      </c>
      <c r="AM30" s="24">
        <f>+AJ30/X30</f>
        <v>0.20982236103357768</v>
      </c>
      <c r="AN30" s="24">
        <f>+AK30/X30</f>
        <v>0.19317763896642234</v>
      </c>
    </row>
    <row r="31" spans="1:40" x14ac:dyDescent="0.2">
      <c r="A31">
        <v>1728</v>
      </c>
      <c r="B31">
        <v>737</v>
      </c>
      <c r="C31">
        <v>493</v>
      </c>
      <c r="D31">
        <v>706</v>
      </c>
      <c r="E31">
        <v>777</v>
      </c>
      <c r="F31">
        <v>122</v>
      </c>
      <c r="H31">
        <v>3420</v>
      </c>
      <c r="I31">
        <v>953</v>
      </c>
      <c r="J31">
        <v>322</v>
      </c>
      <c r="K31">
        <v>302</v>
      </c>
      <c r="L31">
        <f>+'Company establishment'!B30</f>
        <v>941</v>
      </c>
      <c r="M31" s="32">
        <v>236.4836951869186</v>
      </c>
      <c r="O31" s="25">
        <f t="shared" si="7"/>
        <v>17607.888484848485</v>
      </c>
      <c r="Q31">
        <f t="shared" si="8"/>
        <v>4373</v>
      </c>
      <c r="R31">
        <f t="shared" si="9"/>
        <v>4997</v>
      </c>
      <c r="S31" s="25">
        <f t="shared" si="1"/>
        <v>2411.2418475934592</v>
      </c>
      <c r="T31" s="25">
        <f t="shared" si="2"/>
        <v>4012.4836951869183</v>
      </c>
      <c r="U31" s="25">
        <f t="shared" si="10"/>
        <v>6784.2418475934592</v>
      </c>
      <c r="V31" s="25">
        <f t="shared" si="11"/>
        <v>9009.4836951869183</v>
      </c>
      <c r="W31" s="25">
        <v>236.22181818181818</v>
      </c>
      <c r="X31" s="25">
        <f t="shared" si="3"/>
        <v>9245.7055133687372</v>
      </c>
      <c r="Y31" s="24">
        <f t="shared" si="4"/>
        <v>0.55463777604365017</v>
      </c>
      <c r="Z31" s="24">
        <f t="shared" si="5"/>
        <v>0.75301116879957986</v>
      </c>
      <c r="AA31" s="24">
        <f t="shared" si="12"/>
        <v>0.68441064638783267</v>
      </c>
      <c r="AB31" s="24">
        <f t="shared" si="13"/>
        <v>0.87512507504502701</v>
      </c>
      <c r="AD31" s="24">
        <f t="shared" si="17"/>
        <v>0.3335043612108774</v>
      </c>
      <c r="AE31" s="25">
        <f t="shared" si="6"/>
        <v>3004.7021046031286</v>
      </c>
      <c r="AF31" s="40">
        <f t="shared" si="15"/>
        <v>0.32498353968320848</v>
      </c>
      <c r="AG31" s="25">
        <f>+ships!G78</f>
        <v>574.32716712328761</v>
      </c>
      <c r="AI31" s="25">
        <f>+X31*0.597</f>
        <v>5519.6861914811361</v>
      </c>
      <c r="AJ31" s="25">
        <f>+'incomeVOC and total income'!Q30+'incomeVOC and total income'!M30+Population!M31</f>
        <v>1879.9836951869183</v>
      </c>
      <c r="AK31" s="25">
        <f>+X31-AI31-AJ31</f>
        <v>1846.0356267006828</v>
      </c>
      <c r="AL31" s="24">
        <f>+AI31/X31</f>
        <v>0.59699999999999998</v>
      </c>
      <c r="AM31" s="24">
        <f>+AJ31/X31</f>
        <v>0.2033358830722625</v>
      </c>
      <c r="AN31" s="24">
        <f>+AK31/X31</f>
        <v>0.1996641169277375</v>
      </c>
    </row>
    <row r="32" spans="1:40" x14ac:dyDescent="0.2">
      <c r="A32">
        <v>1729</v>
      </c>
      <c r="B32">
        <v>739</v>
      </c>
      <c r="C32">
        <v>517</v>
      </c>
      <c r="D32">
        <v>730</v>
      </c>
      <c r="E32">
        <v>795</v>
      </c>
      <c r="F32">
        <v>79</v>
      </c>
      <c r="H32">
        <v>3519</v>
      </c>
      <c r="I32">
        <v>977</v>
      </c>
      <c r="J32">
        <v>325</v>
      </c>
      <c r="K32">
        <v>325</v>
      </c>
      <c r="L32">
        <f>+'Company establishment'!B31</f>
        <v>863</v>
      </c>
      <c r="M32" s="32">
        <v>219.44063443982702</v>
      </c>
      <c r="O32" s="25">
        <f t="shared" si="7"/>
        <v>17756.71393939394</v>
      </c>
      <c r="Q32">
        <f t="shared" si="8"/>
        <v>4496</v>
      </c>
      <c r="R32">
        <f t="shared" si="9"/>
        <v>5146</v>
      </c>
      <c r="S32" s="25">
        <f t="shared" si="1"/>
        <v>2307.7203172199133</v>
      </c>
      <c r="T32" s="25">
        <f t="shared" si="2"/>
        <v>3942.4406344398267</v>
      </c>
      <c r="U32" s="25">
        <f t="shared" si="10"/>
        <v>6803.7203172199133</v>
      </c>
      <c r="V32" s="25">
        <f t="shared" si="11"/>
        <v>9088.4406344398267</v>
      </c>
      <c r="W32" s="25">
        <v>290.04727272727274</v>
      </c>
      <c r="X32" s="25">
        <f t="shared" si="3"/>
        <v>9378.4879071671003</v>
      </c>
      <c r="Y32" s="24">
        <f t="shared" si="4"/>
        <v>0.56621374413776737</v>
      </c>
      <c r="Z32" s="24">
        <f t="shared" si="5"/>
        <v>0.74861250580631278</v>
      </c>
      <c r="AA32" s="24">
        <f t="shared" si="12"/>
        <v>0.68383210260396421</v>
      </c>
      <c r="AB32" s="24">
        <f t="shared" si="13"/>
        <v>0.87368830159347066</v>
      </c>
      <c r="AD32" s="24">
        <f>3000/8874</f>
        <v>0.33806626098715348</v>
      </c>
      <c r="AE32" s="25">
        <f t="shared" si="6"/>
        <v>3072.4951434887853</v>
      </c>
      <c r="AF32" s="40">
        <f t="shared" si="15"/>
        <v>0.32761092981105888</v>
      </c>
      <c r="AG32" s="25">
        <f>+ships!G79</f>
        <v>527.60482191780818</v>
      </c>
      <c r="AI32" s="25">
        <f>+X32*0.597</f>
        <v>5598.9572805787584</v>
      </c>
      <c r="AJ32" s="25">
        <f>+'incomeVOC and total income'!Q31+'incomeVOC and total income'!M31+Population!M32</f>
        <v>1786.4406344398267</v>
      </c>
      <c r="AK32" s="25">
        <f>+X32-AI32-AJ32</f>
        <v>1993.0899921485152</v>
      </c>
      <c r="AL32" s="24">
        <f>+AI32/X32</f>
        <v>0.59699999999999998</v>
      </c>
      <c r="AM32" s="24">
        <f>+AJ32/X32</f>
        <v>0.19048279979916777</v>
      </c>
      <c r="AN32" s="24">
        <f>+AK32/X32</f>
        <v>0.21251720020083228</v>
      </c>
    </row>
    <row r="33" spans="1:40" x14ac:dyDescent="0.2">
      <c r="A33">
        <v>1730</v>
      </c>
      <c r="B33">
        <v>725</v>
      </c>
      <c r="C33">
        <v>500</v>
      </c>
      <c r="D33">
        <v>734</v>
      </c>
      <c r="E33">
        <v>802</v>
      </c>
      <c r="F33">
        <v>105</v>
      </c>
      <c r="H33">
        <v>3746</v>
      </c>
      <c r="I33">
        <v>1023</v>
      </c>
      <c r="J33">
        <v>346</v>
      </c>
      <c r="K33">
        <v>323</v>
      </c>
      <c r="L33">
        <f>+'Company establishment'!B32</f>
        <v>920</v>
      </c>
      <c r="M33" s="32">
        <v>236.69482179851636</v>
      </c>
      <c r="O33" s="25">
        <f t="shared" si="7"/>
        <v>18775.275151515154</v>
      </c>
      <c r="Q33">
        <f t="shared" si="8"/>
        <v>4769</v>
      </c>
      <c r="R33">
        <f t="shared" si="9"/>
        <v>5438</v>
      </c>
      <c r="S33" s="25">
        <f t="shared" si="1"/>
        <v>2368.3474108992582</v>
      </c>
      <c r="T33" s="25">
        <f t="shared" si="2"/>
        <v>4022.6948217985164</v>
      </c>
      <c r="U33" s="25">
        <f t="shared" si="10"/>
        <v>7137.3474108992577</v>
      </c>
      <c r="V33" s="25">
        <f t="shared" si="11"/>
        <v>9460.6948217985155</v>
      </c>
      <c r="W33" s="25">
        <v>355.94181818181812</v>
      </c>
      <c r="X33" s="25">
        <f t="shared" si="3"/>
        <v>9816.6366399803337</v>
      </c>
      <c r="Y33" s="24">
        <f t="shared" si="4"/>
        <v>0.57479921955311675</v>
      </c>
      <c r="Z33" s="24">
        <f t="shared" si="5"/>
        <v>0.75442105948222726</v>
      </c>
      <c r="AA33" s="24">
        <f t="shared" si="12"/>
        <v>0.68885619713129831</v>
      </c>
      <c r="AB33" s="24">
        <f t="shared" si="13"/>
        <v>0.87697682971680768</v>
      </c>
      <c r="AD33" s="24">
        <f t="shared" si="17"/>
        <v>0.33806626098715348</v>
      </c>
      <c r="AE33" s="25">
        <f t="shared" si="6"/>
        <v>3198.3417247459483</v>
      </c>
      <c r="AF33" s="40">
        <f t="shared" si="15"/>
        <v>0.32580830299045843</v>
      </c>
      <c r="AG33" s="25">
        <f>+ships!G80</f>
        <v>458.98972602739724</v>
      </c>
      <c r="AI33" s="25">
        <f>+X33*0.597</f>
        <v>5860.5320740682591</v>
      </c>
      <c r="AJ33" s="25">
        <f>+'incomeVOC and total income'!Q32+'incomeVOC and total income'!M32+Population!M33</f>
        <v>1830.0465981343968</v>
      </c>
      <c r="AK33" s="25">
        <f>+X33-AI33-AJ33</f>
        <v>2126.0579677776777</v>
      </c>
      <c r="AL33" s="24">
        <f>+AI33/X33</f>
        <v>0.59699999999999998</v>
      </c>
      <c r="AM33" s="24">
        <f>+AJ33/X33</f>
        <v>0.18642297410511705</v>
      </c>
      <c r="AN33" s="24">
        <f>+AK33/X33</f>
        <v>0.21657702589488298</v>
      </c>
    </row>
    <row r="34" spans="1:40" x14ac:dyDescent="0.2">
      <c r="A34">
        <v>1731</v>
      </c>
      <c r="B34">
        <v>765</v>
      </c>
      <c r="C34">
        <v>526</v>
      </c>
      <c r="D34">
        <v>770</v>
      </c>
      <c r="E34">
        <v>859</v>
      </c>
      <c r="F34">
        <v>83</v>
      </c>
      <c r="H34">
        <v>3852</v>
      </c>
      <c r="I34">
        <v>1072</v>
      </c>
      <c r="J34">
        <v>343</v>
      </c>
      <c r="K34">
        <v>332</v>
      </c>
      <c r="L34">
        <f>+'Company establishment'!B33</f>
        <v>1000</v>
      </c>
      <c r="M34" s="32">
        <v>260.31284858232482</v>
      </c>
      <c r="O34" s="25">
        <f t="shared" si="7"/>
        <v>19593.713333333333</v>
      </c>
      <c r="Q34">
        <f t="shared" si="8"/>
        <v>4924</v>
      </c>
      <c r="R34">
        <f t="shared" si="9"/>
        <v>5599</v>
      </c>
      <c r="S34" s="25">
        <f t="shared" si="1"/>
        <v>2504.1564242911622</v>
      </c>
      <c r="T34" s="25">
        <f t="shared" si="2"/>
        <v>4263.3128485823254</v>
      </c>
      <c r="U34" s="25">
        <f t="shared" si="10"/>
        <v>7428.1564242911627</v>
      </c>
      <c r="V34" s="25">
        <f t="shared" si="11"/>
        <v>9862.3128485823254</v>
      </c>
      <c r="W34" s="25">
        <v>417.38</v>
      </c>
      <c r="X34" s="25">
        <f t="shared" si="3"/>
        <v>10279.692848582325</v>
      </c>
      <c r="Y34" s="24">
        <f t="shared" si="4"/>
        <v>0.56771672993570044</v>
      </c>
      <c r="Z34" s="24">
        <f t="shared" si="5"/>
        <v>0.75318604655285659</v>
      </c>
      <c r="AA34" s="24">
        <f t="shared" si="12"/>
        <v>0.6879799964279335</v>
      </c>
      <c r="AB34" s="24">
        <f t="shared" si="13"/>
        <v>0.87944275763529201</v>
      </c>
      <c r="AD34" s="24">
        <f t="shared" si="17"/>
        <v>0.33806626098715348</v>
      </c>
      <c r="AE34" s="25">
        <f t="shared" si="6"/>
        <v>3334.1152294057893</v>
      </c>
      <c r="AF34" s="40">
        <f t="shared" si="15"/>
        <v>0.32433996603951043</v>
      </c>
      <c r="AG34" s="25">
        <f>+ships!G81</f>
        <v>456.6267123287671</v>
      </c>
      <c r="AI34" s="25">
        <f>+X34*0.597</f>
        <v>6136.9766306036472</v>
      </c>
      <c r="AJ34" s="25">
        <f>+'incomeVOC and total income'!Q33+'incomeVOC and total income'!M33+Population!M34</f>
        <v>1904.3506535463675</v>
      </c>
      <c r="AK34" s="25">
        <f>+X34-AI34-AJ34</f>
        <v>2238.3655644323098</v>
      </c>
      <c r="AL34" s="24">
        <f>+AI34/X34</f>
        <v>0.59699999999999998</v>
      </c>
      <c r="AM34" s="24">
        <f>+AJ34/X34</f>
        <v>0.18525365315842068</v>
      </c>
      <c r="AN34" s="24">
        <f>+AK34/X34</f>
        <v>0.21774634684157937</v>
      </c>
    </row>
    <row r="35" spans="1:40" x14ac:dyDescent="0.2">
      <c r="A35">
        <v>1732</v>
      </c>
      <c r="B35" s="30">
        <v>780</v>
      </c>
      <c r="C35" s="30">
        <v>537</v>
      </c>
      <c r="D35" s="30">
        <v>806</v>
      </c>
      <c r="E35" s="30">
        <v>847</v>
      </c>
      <c r="F35" s="30">
        <v>93</v>
      </c>
      <c r="H35">
        <v>3901</v>
      </c>
      <c r="I35">
        <v>1073</v>
      </c>
      <c r="J35">
        <v>389</v>
      </c>
      <c r="K35">
        <v>370</v>
      </c>
      <c r="L35">
        <f>+'Company establishment'!B34</f>
        <v>1016</v>
      </c>
      <c r="M35" s="32">
        <v>267.59869283872581</v>
      </c>
      <c r="O35" s="25">
        <f t="shared" si="7"/>
        <v>19932.48727272727</v>
      </c>
      <c r="Q35">
        <f t="shared" si="8"/>
        <v>4974</v>
      </c>
      <c r="R35">
        <f t="shared" si="9"/>
        <v>5733</v>
      </c>
      <c r="S35" s="25">
        <f t="shared" si="1"/>
        <v>2559.7993464193628</v>
      </c>
      <c r="T35" s="25">
        <f t="shared" si="2"/>
        <v>4346.5986928387256</v>
      </c>
      <c r="U35" s="32">
        <f t="shared" si="10"/>
        <v>7533.7993464193623</v>
      </c>
      <c r="V35" s="32">
        <f t="shared" si="11"/>
        <v>10079.598692838725</v>
      </c>
      <c r="W35" s="25">
        <v>479.48727272727274</v>
      </c>
      <c r="X35" s="25">
        <f t="shared" si="3"/>
        <v>10559.085965565997</v>
      </c>
      <c r="Y35" s="31">
        <f t="shared" si="4"/>
        <v>0.56877264410071582</v>
      </c>
      <c r="Z35" s="31">
        <f t="shared" si="5"/>
        <v>0.74743048567716464</v>
      </c>
      <c r="AA35" s="24">
        <f t="shared" si="12"/>
        <v>0.68044653758939477</v>
      </c>
      <c r="AB35" s="24">
        <f t="shared" si="13"/>
        <v>0.86760858189429613</v>
      </c>
      <c r="AD35" s="24">
        <f t="shared" si="17"/>
        <v>0.33806626098715348</v>
      </c>
      <c r="AE35" s="25">
        <f t="shared" si="6"/>
        <v>3407.5722423389875</v>
      </c>
      <c r="AF35" s="40">
        <f t="shared" si="15"/>
        <v>0.3227146983603833</v>
      </c>
      <c r="AG35" s="25">
        <f>+ships!G82</f>
        <v>638.63013698630141</v>
      </c>
      <c r="AI35" s="25">
        <f>+X35*0.597</f>
        <v>6303.7743214429001</v>
      </c>
      <c r="AJ35" s="25">
        <f>+'incomeVOC and total income'!Q34+'incomeVOC and total income'!M34+Population!M35</f>
        <v>1899.5986928387249</v>
      </c>
      <c r="AK35" s="25">
        <f>+X35-AI35-AJ35</f>
        <v>2355.7129512843721</v>
      </c>
      <c r="AL35" s="24">
        <f>+AI35/X35</f>
        <v>0.59699999999999998</v>
      </c>
      <c r="AM35" s="24">
        <f>+AJ35/X35</f>
        <v>0.17990181148571613</v>
      </c>
      <c r="AN35" s="24">
        <f>+AK35/X35</f>
        <v>0.2230981885142839</v>
      </c>
    </row>
    <row r="36" spans="1:40" x14ac:dyDescent="0.2">
      <c r="A36">
        <v>1733</v>
      </c>
      <c r="B36">
        <v>793</v>
      </c>
      <c r="C36">
        <v>547</v>
      </c>
      <c r="D36">
        <v>839</v>
      </c>
      <c r="E36">
        <v>895</v>
      </c>
      <c r="F36">
        <v>117</v>
      </c>
      <c r="H36">
        <v>4036</v>
      </c>
      <c r="I36">
        <v>1086</v>
      </c>
      <c r="J36">
        <v>419</v>
      </c>
      <c r="K36">
        <v>382</v>
      </c>
      <c r="L36">
        <f>+'Company establishment'!B35</f>
        <v>877</v>
      </c>
      <c r="M36" s="32">
        <v>233.71390300420609</v>
      </c>
      <c r="O36" s="25">
        <f t="shared" si="7"/>
        <v>20116.890303030304</v>
      </c>
      <c r="Q36">
        <f t="shared" si="8"/>
        <v>5122</v>
      </c>
      <c r="R36">
        <f t="shared" si="9"/>
        <v>5923</v>
      </c>
      <c r="S36" s="25">
        <f t="shared" ref="S36:S67" si="18">B36+C36+L36+F36+0.5*M36</f>
        <v>2450.8569515021031</v>
      </c>
      <c r="T36" s="25">
        <f t="shared" ref="T36:T67" si="19">+D36+E36+S36+M36*0.5</f>
        <v>4301.7139030042053</v>
      </c>
      <c r="U36" s="25">
        <f t="shared" si="10"/>
        <v>7572.8569515021027</v>
      </c>
      <c r="V36" s="25">
        <f t="shared" si="11"/>
        <v>10224.713903004205</v>
      </c>
      <c r="W36" s="25">
        <v>549.22363636363639</v>
      </c>
      <c r="X36" s="25">
        <f t="shared" ref="X36:X67" si="20">+V36+W36</f>
        <v>10773.937539367842</v>
      </c>
      <c r="Y36" s="24">
        <f t="shared" ref="Y36:Y67" si="21">+R36/V36</f>
        <v>0.57928271208250781</v>
      </c>
      <c r="Z36" s="24">
        <f t="shared" ref="Z36:Z67" si="22">+U36/V36</f>
        <v>0.74064243003191133</v>
      </c>
      <c r="AA36" s="24">
        <f t="shared" si="12"/>
        <v>0.6814114469019078</v>
      </c>
      <c r="AB36" s="24">
        <f t="shared" si="13"/>
        <v>0.86476447746074625</v>
      </c>
      <c r="AD36" s="24">
        <f t="shared" si="17"/>
        <v>0.33806626098715348</v>
      </c>
      <c r="AE36" s="25">
        <f t="shared" ref="AE36:AE67" si="23">+AD36*V36</f>
        <v>3456.6307988519961</v>
      </c>
      <c r="AF36" s="40">
        <f t="shared" si="15"/>
        <v>0.32083263767044384</v>
      </c>
      <c r="AG36" s="25">
        <f>+ships!G83</f>
        <v>550.7655068493151</v>
      </c>
      <c r="AI36" s="25">
        <f>+X36*0.597</f>
        <v>6432.0407110026017</v>
      </c>
      <c r="AJ36" s="25">
        <f>+'incomeVOC and total income'!Q35+'incomeVOC and total income'!M35+Population!M36</f>
        <v>1760.7936912373223</v>
      </c>
      <c r="AK36" s="25">
        <f>+X36-AI36-AJ36</f>
        <v>2581.1031371279178</v>
      </c>
      <c r="AL36" s="24">
        <f>+AI36/X36</f>
        <v>0.59699999999999998</v>
      </c>
      <c r="AM36" s="24">
        <f>+AJ36/X36</f>
        <v>0.16343084269826169</v>
      </c>
      <c r="AN36" s="24">
        <f>+AK36/X36</f>
        <v>0.23956915730173831</v>
      </c>
    </row>
    <row r="37" spans="1:40" x14ac:dyDescent="0.2">
      <c r="A37">
        <v>1734</v>
      </c>
      <c r="B37">
        <v>814</v>
      </c>
      <c r="C37">
        <v>567</v>
      </c>
      <c r="D37">
        <v>863</v>
      </c>
      <c r="E37">
        <v>955</v>
      </c>
      <c r="F37">
        <v>120</v>
      </c>
      <c r="H37">
        <v>4362</v>
      </c>
      <c r="I37">
        <v>1109</v>
      </c>
      <c r="J37">
        <v>418</v>
      </c>
      <c r="K37">
        <v>396</v>
      </c>
      <c r="L37">
        <f>+'Company establishment'!B36</f>
        <v>1112</v>
      </c>
      <c r="M37" s="32">
        <v>299.83644297643917</v>
      </c>
      <c r="O37" s="25">
        <f t="shared" si="7"/>
        <v>22205.593939393941</v>
      </c>
      <c r="Q37">
        <f t="shared" si="8"/>
        <v>5471</v>
      </c>
      <c r="R37">
        <f t="shared" si="9"/>
        <v>6285</v>
      </c>
      <c r="S37" s="25">
        <f t="shared" si="18"/>
        <v>2762.9182214882194</v>
      </c>
      <c r="T37" s="25">
        <f t="shared" si="19"/>
        <v>4730.8364429764388</v>
      </c>
      <c r="U37" s="25">
        <f t="shared" si="10"/>
        <v>8233.9182214882203</v>
      </c>
      <c r="V37" s="25">
        <f t="shared" si="11"/>
        <v>11015.836442976439</v>
      </c>
      <c r="W37" s="25">
        <v>639.92727272727279</v>
      </c>
      <c r="X37" s="25">
        <f t="shared" si="20"/>
        <v>11655.763715703712</v>
      </c>
      <c r="Y37" s="24">
        <f t="shared" si="21"/>
        <v>0.57054224003182608</v>
      </c>
      <c r="Z37" s="24">
        <f t="shared" si="22"/>
        <v>0.74746191667887962</v>
      </c>
      <c r="AA37" s="24">
        <f t="shared" si="12"/>
        <v>0.69403341288782816</v>
      </c>
      <c r="AB37" s="24">
        <f t="shared" si="13"/>
        <v>0.87048528241845669</v>
      </c>
      <c r="AD37" s="24">
        <f>3600/10756</f>
        <v>0.33469691335068796</v>
      </c>
      <c r="AE37" s="25">
        <f t="shared" si="23"/>
        <v>3686.9664554402357</v>
      </c>
      <c r="AF37" s="40">
        <f t="shared" si="15"/>
        <v>0.31632131067248875</v>
      </c>
      <c r="AG37" s="25">
        <f>+ships!G84</f>
        <v>617.35420273972602</v>
      </c>
      <c r="AI37" s="25">
        <f>+X37*0.597</f>
        <v>6958.4909382751157</v>
      </c>
      <c r="AJ37" s="25">
        <f>+'incomeVOC and total income'!Q36+'incomeVOC and total income'!M36+Population!M37</f>
        <v>2097.8814609459423</v>
      </c>
      <c r="AK37" s="25">
        <f>+X37-AI37-AJ37</f>
        <v>2599.3913164826536</v>
      </c>
      <c r="AL37" s="24">
        <f>+AI37/X37</f>
        <v>0.59699999999999998</v>
      </c>
      <c r="AM37" s="24">
        <f>+AJ37/X37</f>
        <v>0.17998661538750005</v>
      </c>
      <c r="AN37" s="24">
        <f>+AK37/X37</f>
        <v>0.22301338461249998</v>
      </c>
    </row>
    <row r="38" spans="1:40" x14ac:dyDescent="0.2">
      <c r="A38">
        <v>1735</v>
      </c>
      <c r="B38">
        <v>856</v>
      </c>
      <c r="C38">
        <v>582</v>
      </c>
      <c r="D38">
        <v>891</v>
      </c>
      <c r="E38">
        <v>989</v>
      </c>
      <c r="F38">
        <v>133</v>
      </c>
      <c r="H38">
        <v>4594</v>
      </c>
      <c r="I38">
        <v>1152</v>
      </c>
      <c r="J38">
        <v>447</v>
      </c>
      <c r="K38">
        <v>425</v>
      </c>
      <c r="L38">
        <f>+'Company establishment'!B37</f>
        <v>1070</v>
      </c>
      <c r="M38" s="32">
        <v>291.91612312393028</v>
      </c>
      <c r="O38" s="25">
        <f t="shared" si="7"/>
        <v>23064.996363636361</v>
      </c>
      <c r="Q38">
        <f t="shared" si="8"/>
        <v>5746</v>
      </c>
      <c r="R38">
        <f t="shared" si="9"/>
        <v>6618</v>
      </c>
      <c r="S38" s="25">
        <f t="shared" si="18"/>
        <v>2786.9580615619652</v>
      </c>
      <c r="T38" s="25">
        <f t="shared" si="19"/>
        <v>4812.9161231239304</v>
      </c>
      <c r="U38" s="25">
        <f t="shared" si="10"/>
        <v>8532.9580615619652</v>
      </c>
      <c r="V38" s="25">
        <f t="shared" si="11"/>
        <v>11430.91612312393</v>
      </c>
      <c r="W38" s="25">
        <v>733.99636363636353</v>
      </c>
      <c r="X38" s="25">
        <f t="shared" si="20"/>
        <v>12164.912486760293</v>
      </c>
      <c r="Y38" s="24">
        <f t="shared" si="21"/>
        <v>0.57895622089398913</v>
      </c>
      <c r="Z38" s="24">
        <f t="shared" si="22"/>
        <v>0.74648068183270089</v>
      </c>
      <c r="AA38" s="24">
        <f t="shared" si="12"/>
        <v>0.69416742218192806</v>
      </c>
      <c r="AB38" s="24">
        <f t="shared" si="13"/>
        <v>0.86823813841039588</v>
      </c>
      <c r="AD38" s="24">
        <f t="shared" si="17"/>
        <v>0.33469691335068796</v>
      </c>
      <c r="AE38" s="25">
        <f t="shared" si="23"/>
        <v>3825.8923431801923</v>
      </c>
      <c r="AF38" s="40">
        <f t="shared" si="15"/>
        <v>0.31450224959235096</v>
      </c>
      <c r="AG38" s="25">
        <f>+ships!G85</f>
        <v>701.05145205479459</v>
      </c>
      <c r="AI38" s="25">
        <f>+X38*0.597</f>
        <v>7262.4527545958945</v>
      </c>
      <c r="AJ38" s="25">
        <f>+'incomeVOC and total income'!Q37+'incomeVOC and total income'!M37+Population!M38</f>
        <v>2085.91612312393</v>
      </c>
      <c r="AK38" s="25">
        <f>+X38-AI38-AJ38</f>
        <v>2816.5436090404687</v>
      </c>
      <c r="AL38" s="24">
        <f>+AI38/X38</f>
        <v>0.59699999999999998</v>
      </c>
      <c r="AM38" s="24">
        <f>+AJ38/X38</f>
        <v>0.17146988319021128</v>
      </c>
      <c r="AN38" s="24">
        <f>+AK38/X38</f>
        <v>0.23153011680978877</v>
      </c>
    </row>
    <row r="39" spans="1:40" x14ac:dyDescent="0.2">
      <c r="A39">
        <v>1736</v>
      </c>
      <c r="B39">
        <v>897</v>
      </c>
      <c r="C39">
        <v>622</v>
      </c>
      <c r="D39">
        <v>922</v>
      </c>
      <c r="E39">
        <v>1038</v>
      </c>
      <c r="F39">
        <v>148</v>
      </c>
      <c r="H39">
        <v>4730</v>
      </c>
      <c r="I39">
        <v>1132</v>
      </c>
      <c r="J39">
        <v>467</v>
      </c>
      <c r="K39">
        <v>418</v>
      </c>
      <c r="L39">
        <f>+'Company establishment'!B38</f>
        <v>1035</v>
      </c>
      <c r="M39" s="32">
        <v>285.6994009766172</v>
      </c>
      <c r="O39" s="25">
        <f t="shared" si="7"/>
        <v>23622.638484848489</v>
      </c>
      <c r="Q39">
        <f t="shared" si="8"/>
        <v>5862</v>
      </c>
      <c r="R39">
        <f t="shared" si="9"/>
        <v>6747</v>
      </c>
      <c r="S39" s="25">
        <f t="shared" si="18"/>
        <v>2844.8497004883084</v>
      </c>
      <c r="T39" s="25">
        <f t="shared" si="19"/>
        <v>4947.6994009766167</v>
      </c>
      <c r="U39" s="25">
        <f t="shared" si="10"/>
        <v>8706.8497004883084</v>
      </c>
      <c r="V39" s="25">
        <f t="shared" si="11"/>
        <v>11694.699400976617</v>
      </c>
      <c r="W39" s="25">
        <v>778.97181818181832</v>
      </c>
      <c r="X39" s="25">
        <f t="shared" si="20"/>
        <v>12473.671219158436</v>
      </c>
      <c r="Y39" s="24">
        <f t="shared" si="21"/>
        <v>0.57692803967552708</v>
      </c>
      <c r="Z39" s="24">
        <f t="shared" si="22"/>
        <v>0.74451248398579661</v>
      </c>
      <c r="AA39" s="24">
        <f t="shared" si="12"/>
        <v>0.70105231954942937</v>
      </c>
      <c r="AB39" s="24">
        <f t="shared" si="13"/>
        <v>0.86883059137394403</v>
      </c>
      <c r="AD39" s="24">
        <f t="shared" si="17"/>
        <v>0.33469691335068796</v>
      </c>
      <c r="AE39" s="25">
        <f t="shared" si="23"/>
        <v>3914.1797920710133</v>
      </c>
      <c r="AF39" s="40">
        <f t="shared" si="15"/>
        <v>0.31379533124611986</v>
      </c>
      <c r="AG39" s="25">
        <f>+ships!G86</f>
        <v>654.4444410958904</v>
      </c>
      <c r="AI39" s="25">
        <f>+X39*0.597</f>
        <v>7446.7817178375853</v>
      </c>
      <c r="AJ39" s="25">
        <f>+'incomeVOC and total income'!Q38+'incomeVOC and total income'!M38+Population!M39</f>
        <v>2024.1199813849501</v>
      </c>
      <c r="AK39" s="25">
        <f>+X39-AI39-AJ39</f>
        <v>3002.7695199359005</v>
      </c>
      <c r="AL39" s="24">
        <f>+AI39/X39</f>
        <v>0.59699999999999998</v>
      </c>
      <c r="AM39" s="24">
        <f>+AJ39/X39</f>
        <v>0.16227139114233538</v>
      </c>
      <c r="AN39" s="24">
        <f>+AK39/X39</f>
        <v>0.2407286088576647</v>
      </c>
    </row>
    <row r="40" spans="1:40" x14ac:dyDescent="0.2">
      <c r="A40">
        <v>1737</v>
      </c>
      <c r="B40">
        <v>924</v>
      </c>
      <c r="C40">
        <v>645</v>
      </c>
      <c r="D40">
        <v>964</v>
      </c>
      <c r="E40">
        <v>1074</v>
      </c>
      <c r="F40">
        <v>143</v>
      </c>
      <c r="H40">
        <v>4767</v>
      </c>
      <c r="I40">
        <v>1124</v>
      </c>
      <c r="J40">
        <v>481</v>
      </c>
      <c r="K40">
        <v>416</v>
      </c>
      <c r="L40">
        <f>+'Company establishment'!B39</f>
        <v>909</v>
      </c>
      <c r="M40" s="32">
        <v>253.87944386715017</v>
      </c>
      <c r="O40" s="25">
        <f t="shared" si="7"/>
        <v>23422.85090909091</v>
      </c>
      <c r="Q40">
        <f t="shared" si="8"/>
        <v>5891</v>
      </c>
      <c r="R40">
        <f t="shared" si="9"/>
        <v>6788</v>
      </c>
      <c r="S40" s="25">
        <f t="shared" si="18"/>
        <v>2747.9397219335751</v>
      </c>
      <c r="T40" s="25">
        <f t="shared" si="19"/>
        <v>4912.8794438671503</v>
      </c>
      <c r="U40" s="25">
        <f t="shared" si="10"/>
        <v>8638.9397219335751</v>
      </c>
      <c r="V40" s="25">
        <f t="shared" si="11"/>
        <v>11700.87944386715</v>
      </c>
      <c r="W40" s="25">
        <v>752.85090909090923</v>
      </c>
      <c r="X40" s="25">
        <f t="shared" si="20"/>
        <v>12453.73035295806</v>
      </c>
      <c r="Y40" s="24">
        <f t="shared" si="21"/>
        <v>0.58012733423707175</v>
      </c>
      <c r="Z40" s="24">
        <f t="shared" si="22"/>
        <v>0.7383154200825095</v>
      </c>
      <c r="AA40" s="24">
        <f t="shared" si="12"/>
        <v>0.70226870948733056</v>
      </c>
      <c r="AB40" s="24">
        <f t="shared" si="13"/>
        <v>0.86785503830288746</v>
      </c>
      <c r="AD40" s="24">
        <f t="shared" si="17"/>
        <v>0.33469691335068796</v>
      </c>
      <c r="AE40" s="25">
        <f t="shared" si="23"/>
        <v>3916.2482333508497</v>
      </c>
      <c r="AF40" s="40">
        <f t="shared" si="15"/>
        <v>0.31446386924706832</v>
      </c>
      <c r="AG40" s="25">
        <f>+ships!G87</f>
        <v>553.64094520547951</v>
      </c>
      <c r="AI40" s="25">
        <f>+X40*0.597</f>
        <v>7434.8770207159614</v>
      </c>
      <c r="AJ40" s="25">
        <f>+'incomeVOC and total income'!Q39+'incomeVOC and total income'!M39+Population!M40</f>
        <v>1846.3055667152112</v>
      </c>
      <c r="AK40" s="25">
        <f>+X40-AI40-AJ40</f>
        <v>3172.5477655268878</v>
      </c>
      <c r="AL40" s="24">
        <f>+AI40/X40</f>
        <v>0.59699999999999998</v>
      </c>
      <c r="AM40" s="24">
        <f>+AJ40/X40</f>
        <v>0.14825321525262261</v>
      </c>
      <c r="AN40" s="24">
        <f>+AK40/X40</f>
        <v>0.25474678474737744</v>
      </c>
    </row>
    <row r="41" spans="1:40" x14ac:dyDescent="0.2">
      <c r="A41">
        <v>1738</v>
      </c>
      <c r="B41">
        <v>901</v>
      </c>
      <c r="C41">
        <v>641</v>
      </c>
      <c r="D41">
        <v>993</v>
      </c>
      <c r="E41">
        <v>1077</v>
      </c>
      <c r="F41">
        <v>136</v>
      </c>
      <c r="H41">
        <v>4699</v>
      </c>
      <c r="I41">
        <v>1124</v>
      </c>
      <c r="J41">
        <v>465</v>
      </c>
      <c r="K41">
        <v>450</v>
      </c>
      <c r="L41">
        <f>+'Company establishment'!B40</f>
        <v>1062</v>
      </c>
      <c r="M41" s="32">
        <v>300.11164469271631</v>
      </c>
      <c r="O41" s="25">
        <f t="shared" si="7"/>
        <v>23668.011515151513</v>
      </c>
      <c r="Q41">
        <f t="shared" si="8"/>
        <v>5823</v>
      </c>
      <c r="R41">
        <f t="shared" si="9"/>
        <v>6738</v>
      </c>
      <c r="S41" s="25">
        <f t="shared" si="18"/>
        <v>2890.0558223463581</v>
      </c>
      <c r="T41" s="25">
        <f t="shared" si="19"/>
        <v>5110.1116446927163</v>
      </c>
      <c r="U41" s="25">
        <f t="shared" si="10"/>
        <v>8713.0558223463577</v>
      </c>
      <c r="V41" s="25">
        <f t="shared" si="11"/>
        <v>11848.111644692715</v>
      </c>
      <c r="W41" s="25">
        <v>716.678181818182</v>
      </c>
      <c r="X41" s="25">
        <f t="shared" si="20"/>
        <v>12564.789826510898</v>
      </c>
      <c r="Y41" s="24">
        <f t="shared" si="21"/>
        <v>0.56869821977228274</v>
      </c>
      <c r="Z41" s="24">
        <f t="shared" si="22"/>
        <v>0.73539616131565699</v>
      </c>
      <c r="AA41" s="24">
        <f t="shared" si="12"/>
        <v>0.69738794894627487</v>
      </c>
      <c r="AB41" s="24">
        <f t="shared" si="13"/>
        <v>0.86420302760463041</v>
      </c>
      <c r="AD41" s="24">
        <f t="shared" si="17"/>
        <v>0.33469691335068796</v>
      </c>
      <c r="AE41" s="25">
        <f t="shared" si="23"/>
        <v>3965.5263965129948</v>
      </c>
      <c r="AF41" s="40">
        <f t="shared" si="15"/>
        <v>0.31560626570497735</v>
      </c>
      <c r="AG41" s="25">
        <f>+ships!G88</f>
        <v>594.17974794520546</v>
      </c>
      <c r="AI41" s="25">
        <f>+X41*0.597</f>
        <v>7501.1795264270058</v>
      </c>
      <c r="AJ41" s="25">
        <f>+'incomeVOC and total income'!Q40+'incomeVOC and total income'!M40+Population!M41</f>
        <v>2026.1116446927158</v>
      </c>
      <c r="AK41" s="25">
        <f>+X41-AI41-AJ41</f>
        <v>3037.4986553911763</v>
      </c>
      <c r="AL41" s="24">
        <f>+AI41/X41</f>
        <v>0.59699999999999998</v>
      </c>
      <c r="AM41" s="24">
        <f>+AJ41/X41</f>
        <v>0.16125312660763738</v>
      </c>
      <c r="AN41" s="24">
        <f>+AK41/X41</f>
        <v>0.24174687339236264</v>
      </c>
    </row>
    <row r="42" spans="1:40" x14ac:dyDescent="0.2">
      <c r="A42">
        <v>1739</v>
      </c>
      <c r="B42">
        <v>916</v>
      </c>
      <c r="C42">
        <v>647</v>
      </c>
      <c r="D42">
        <v>984</v>
      </c>
      <c r="E42">
        <v>1072</v>
      </c>
      <c r="F42">
        <v>127</v>
      </c>
      <c r="H42">
        <v>4651</v>
      </c>
      <c r="I42">
        <v>1205</v>
      </c>
      <c r="J42">
        <v>484</v>
      </c>
      <c r="K42">
        <v>473</v>
      </c>
      <c r="L42">
        <f>+'Company establishment'!B41</f>
        <v>981</v>
      </c>
      <c r="M42" s="32">
        <v>280.49299041449024</v>
      </c>
      <c r="O42" s="25">
        <f t="shared" si="7"/>
        <v>23213.020606060607</v>
      </c>
      <c r="Q42">
        <f t="shared" si="8"/>
        <v>5856</v>
      </c>
      <c r="R42">
        <f t="shared" si="9"/>
        <v>6813</v>
      </c>
      <c r="S42" s="25">
        <f t="shared" si="18"/>
        <v>2811.2464952072451</v>
      </c>
      <c r="T42" s="25">
        <f t="shared" si="19"/>
        <v>5007.4929904144901</v>
      </c>
      <c r="U42" s="25">
        <f t="shared" si="10"/>
        <v>8667.2464952072442</v>
      </c>
      <c r="V42" s="25">
        <f t="shared" si="11"/>
        <v>11820.49299041449</v>
      </c>
      <c r="W42" s="25">
        <v>693.68727272727278</v>
      </c>
      <c r="X42" s="25">
        <f t="shared" si="20"/>
        <v>12514.180263141763</v>
      </c>
      <c r="Y42" s="24">
        <f t="shared" si="21"/>
        <v>0.57637189967667324</v>
      </c>
      <c r="Z42" s="24">
        <f t="shared" si="22"/>
        <v>0.73323900299553613</v>
      </c>
      <c r="AA42" s="24">
        <f t="shared" si="12"/>
        <v>0.68266549244092178</v>
      </c>
      <c r="AB42" s="24">
        <f t="shared" si="13"/>
        <v>0.85953324526640251</v>
      </c>
      <c r="AD42" s="24">
        <f>3800/11378</f>
        <v>0.33397785199507823</v>
      </c>
      <c r="AE42" s="25">
        <f t="shared" si="23"/>
        <v>3947.7828584615104</v>
      </c>
      <c r="AF42" s="40">
        <f t="shared" si="15"/>
        <v>0.3154647588135665</v>
      </c>
      <c r="AG42" s="25">
        <f>+ships!G89</f>
        <v>436.83408767123291</v>
      </c>
      <c r="AI42" s="25">
        <f>+X42*0.597</f>
        <v>7470.9656170956323</v>
      </c>
      <c r="AJ42" s="25">
        <f>+'incomeVOC and total income'!Q41+'incomeVOC and total income'!M41+Population!M42</f>
        <v>1923.4929904144901</v>
      </c>
      <c r="AK42" s="25">
        <f>+X42-AI42-AJ42</f>
        <v>3119.7216556316407</v>
      </c>
      <c r="AL42" s="24">
        <f>+AI42/X42</f>
        <v>0.59699999999999998</v>
      </c>
      <c r="AM42" s="24">
        <f>+AJ42/X42</f>
        <v>0.15370507296269242</v>
      </c>
      <c r="AN42" s="24">
        <f>+AK42/X42</f>
        <v>0.2492949270373076</v>
      </c>
    </row>
    <row r="43" spans="1:40" x14ac:dyDescent="0.2">
      <c r="A43">
        <v>1740</v>
      </c>
      <c r="B43">
        <v>964</v>
      </c>
      <c r="C43">
        <v>679</v>
      </c>
      <c r="D43">
        <v>1022</v>
      </c>
      <c r="E43">
        <v>1120</v>
      </c>
      <c r="F43">
        <v>134</v>
      </c>
      <c r="H43">
        <v>4399</v>
      </c>
      <c r="I43">
        <v>1022</v>
      </c>
      <c r="J43">
        <v>447</v>
      </c>
      <c r="K43">
        <v>447</v>
      </c>
      <c r="L43">
        <f>+'Company establishment'!B42</f>
        <v>1141</v>
      </c>
      <c r="M43" s="32">
        <v>330.09072740802856</v>
      </c>
      <c r="O43" s="25">
        <f t="shared" si="7"/>
        <v>22999.943939393939</v>
      </c>
      <c r="Q43">
        <f t="shared" si="8"/>
        <v>5421</v>
      </c>
      <c r="R43">
        <f t="shared" si="9"/>
        <v>6315</v>
      </c>
      <c r="S43" s="25">
        <f t="shared" si="18"/>
        <v>3083.0453637040141</v>
      </c>
      <c r="T43" s="25">
        <f t="shared" si="19"/>
        <v>5390.0907274080282</v>
      </c>
      <c r="U43" s="25">
        <f t="shared" si="10"/>
        <v>8504.0453637040137</v>
      </c>
      <c r="V43" s="25">
        <f t="shared" si="11"/>
        <v>11705.090727408027</v>
      </c>
      <c r="W43" s="25">
        <v>614.27727272727293</v>
      </c>
      <c r="X43" s="25">
        <f t="shared" si="20"/>
        <v>12319.3680001353</v>
      </c>
      <c r="Y43" s="24">
        <f t="shared" si="21"/>
        <v>0.53950884679715694</v>
      </c>
      <c r="Z43" s="24">
        <f t="shared" si="22"/>
        <v>0.7265253693242536</v>
      </c>
      <c r="AA43" s="24">
        <f t="shared" si="12"/>
        <v>0.69659540775930329</v>
      </c>
      <c r="AB43" s="24">
        <f t="shared" si="13"/>
        <v>0.85843230403800475</v>
      </c>
      <c r="AD43" s="24">
        <f t="shared" si="17"/>
        <v>0.33397785199507823</v>
      </c>
      <c r="AE43" s="25">
        <f t="shared" si="23"/>
        <v>3909.2410585472408</v>
      </c>
      <c r="AF43" s="40">
        <f t="shared" si="15"/>
        <v>0.31732480582642769</v>
      </c>
      <c r="AG43" s="25">
        <f>+ships!G90</f>
        <v>471.78082191780823</v>
      </c>
      <c r="AI43" s="25">
        <f>+X43*0.597</f>
        <v>7354.6626960807744</v>
      </c>
      <c r="AJ43" s="25">
        <f>+'incomeVOC and total income'!Q42+'incomeVOC and total income'!M42+Population!M43</f>
        <v>2125.0907274080287</v>
      </c>
      <c r="AK43" s="25">
        <f>+X43-AI43-AJ43</f>
        <v>2839.6145766464974</v>
      </c>
      <c r="AL43" s="24">
        <f>+AI43/X43</f>
        <v>0.59699999999999998</v>
      </c>
      <c r="AM43" s="24">
        <f>+AJ43/X43</f>
        <v>0.17249997949445858</v>
      </c>
      <c r="AN43" s="24">
        <f>+AK43/X43</f>
        <v>0.23050002050554141</v>
      </c>
    </row>
    <row r="44" spans="1:40" x14ac:dyDescent="0.2">
      <c r="A44">
        <v>1741</v>
      </c>
      <c r="B44">
        <v>1019</v>
      </c>
      <c r="C44">
        <v>670</v>
      </c>
      <c r="D44">
        <v>981</v>
      </c>
      <c r="E44">
        <v>1136</v>
      </c>
      <c r="F44">
        <v>126</v>
      </c>
      <c r="H44">
        <v>5024</v>
      </c>
      <c r="I44">
        <v>1247</v>
      </c>
      <c r="J44">
        <v>457</v>
      </c>
      <c r="K44">
        <v>435</v>
      </c>
      <c r="L44">
        <f>+'Company establishment'!B43</f>
        <v>1170</v>
      </c>
      <c r="M44" s="32">
        <v>342.47448172654572</v>
      </c>
      <c r="O44" s="25">
        <f t="shared" si="7"/>
        <v>25242.87212121212</v>
      </c>
      <c r="Q44">
        <f t="shared" si="8"/>
        <v>6271</v>
      </c>
      <c r="R44">
        <f t="shared" si="9"/>
        <v>7163</v>
      </c>
      <c r="S44" s="25">
        <f t="shared" si="18"/>
        <v>3156.2372408632727</v>
      </c>
      <c r="T44" s="25">
        <f t="shared" si="19"/>
        <v>5444.4744817265455</v>
      </c>
      <c r="U44" s="25">
        <f t="shared" si="10"/>
        <v>9427.2372408632727</v>
      </c>
      <c r="V44" s="25">
        <f t="shared" si="11"/>
        <v>12607.474481726545</v>
      </c>
      <c r="W44" s="25">
        <v>664.2054545454547</v>
      </c>
      <c r="X44" s="25">
        <f t="shared" si="20"/>
        <v>13271.679936271999</v>
      </c>
      <c r="Y44" s="24">
        <f t="shared" si="21"/>
        <v>0.5681550266377422</v>
      </c>
      <c r="Z44" s="24">
        <f t="shared" si="22"/>
        <v>0.74774985700167351</v>
      </c>
      <c r="AA44" s="24">
        <f t="shared" si="12"/>
        <v>0.70138210247103172</v>
      </c>
      <c r="AB44" s="24">
        <f t="shared" si="13"/>
        <v>0.87547117129694263</v>
      </c>
      <c r="AD44" s="24">
        <f t="shared" si="17"/>
        <v>0.33397785199507823</v>
      </c>
      <c r="AE44" s="25">
        <f t="shared" si="23"/>
        <v>4210.6172464897936</v>
      </c>
      <c r="AF44" s="40">
        <f t="shared" si="15"/>
        <v>0.31726332059756945</v>
      </c>
      <c r="AG44" s="25">
        <f>+ships!G91</f>
        <v>543.125</v>
      </c>
      <c r="AI44" s="25">
        <f>+X44*0.597</f>
        <v>7923.1929219543836</v>
      </c>
      <c r="AJ44" s="25">
        <f>+'incomeVOC and total income'!Q43+'incomeVOC and total income'!M43+Population!M44</f>
        <v>2151.4744817265455</v>
      </c>
      <c r="AK44" s="25">
        <f>+X44-AI44-AJ44</f>
        <v>3197.0125325910703</v>
      </c>
      <c r="AL44" s="24">
        <f>+AI44/X44</f>
        <v>0.59699999999999998</v>
      </c>
      <c r="AM44" s="24">
        <f>+AJ44/X44</f>
        <v>0.16211018439696431</v>
      </c>
      <c r="AN44" s="24">
        <f>+AK44/X44</f>
        <v>0.24088981560303568</v>
      </c>
    </row>
    <row r="45" spans="1:40" x14ac:dyDescent="0.2">
      <c r="A45">
        <v>1742</v>
      </c>
      <c r="B45">
        <v>1073</v>
      </c>
      <c r="C45">
        <v>696</v>
      </c>
      <c r="D45">
        <v>991</v>
      </c>
      <c r="E45">
        <v>1173</v>
      </c>
      <c r="F45">
        <v>120</v>
      </c>
      <c r="H45">
        <v>4319</v>
      </c>
      <c r="I45">
        <v>1104</v>
      </c>
      <c r="J45">
        <v>451</v>
      </c>
      <c r="K45">
        <v>433</v>
      </c>
      <c r="L45">
        <f>+'Company establishment'!B44</f>
        <v>1163</v>
      </c>
      <c r="M45" s="32">
        <v>344.44250987222114</v>
      </c>
      <c r="O45" s="25">
        <f t="shared" si="7"/>
        <v>22882.496060606063</v>
      </c>
      <c r="Q45">
        <f t="shared" si="8"/>
        <v>5423</v>
      </c>
      <c r="R45">
        <f t="shared" si="9"/>
        <v>6307</v>
      </c>
      <c r="S45" s="25">
        <f t="shared" si="18"/>
        <v>3224.2212549361107</v>
      </c>
      <c r="T45" s="25">
        <f t="shared" si="19"/>
        <v>5560.4425098722204</v>
      </c>
      <c r="U45" s="25">
        <f t="shared" si="10"/>
        <v>8647.2212549361102</v>
      </c>
      <c r="V45" s="25">
        <f t="shared" si="11"/>
        <v>11867.44250987222</v>
      </c>
      <c r="W45" s="25">
        <v>556.16272727272758</v>
      </c>
      <c r="X45" s="25">
        <f t="shared" si="20"/>
        <v>12423.605237144948</v>
      </c>
      <c r="Y45" s="24">
        <f t="shared" si="21"/>
        <v>0.53145401755714161</v>
      </c>
      <c r="Z45" s="24">
        <f t="shared" si="22"/>
        <v>0.72865078113862436</v>
      </c>
      <c r="AA45" s="24">
        <f t="shared" si="12"/>
        <v>0.68479467258601556</v>
      </c>
      <c r="AB45" s="24">
        <f t="shared" si="13"/>
        <v>0.85983827493261455</v>
      </c>
      <c r="AD45" s="24">
        <f t="shared" si="17"/>
        <v>0.33397785199507823</v>
      </c>
      <c r="AE45" s="25">
        <f t="shared" si="23"/>
        <v>3963.4629581222043</v>
      </c>
      <c r="AF45" s="40">
        <f t="shared" si="15"/>
        <v>0.31902679475616069</v>
      </c>
      <c r="AG45" s="25">
        <f>+ships!G92</f>
        <v>490.31961643835615</v>
      </c>
      <c r="AI45" s="25">
        <f>+X45*0.597</f>
        <v>7416.8923265755338</v>
      </c>
      <c r="AJ45" s="25">
        <f>+'incomeVOC and total income'!Q44+'incomeVOC and total income'!M44+Population!M45</f>
        <v>2112.4425098722213</v>
      </c>
      <c r="AK45" s="25">
        <f>+X45-AI45-AJ45</f>
        <v>2894.2704006971926</v>
      </c>
      <c r="AL45" s="24">
        <f>+AI45/X45</f>
        <v>0.59699999999999998</v>
      </c>
      <c r="AM45" s="24">
        <f>+AJ45/X45</f>
        <v>0.17003458090863155</v>
      </c>
      <c r="AN45" s="24">
        <f>+AK45/X45</f>
        <v>0.23296541909136845</v>
      </c>
    </row>
    <row r="46" spans="1:40" x14ac:dyDescent="0.2">
      <c r="A46">
        <v>1743</v>
      </c>
      <c r="B46">
        <v>1075</v>
      </c>
      <c r="C46">
        <v>700</v>
      </c>
      <c r="D46">
        <v>1025</v>
      </c>
      <c r="E46">
        <v>1172</v>
      </c>
      <c r="F46">
        <v>124</v>
      </c>
      <c r="H46">
        <v>4043</v>
      </c>
      <c r="I46">
        <v>1088</v>
      </c>
      <c r="J46">
        <v>486</v>
      </c>
      <c r="K46">
        <v>430</v>
      </c>
      <c r="L46">
        <f>+'Company establishment'!B45</f>
        <v>1050</v>
      </c>
      <c r="M46" s="32">
        <v>314.64512301216598</v>
      </c>
      <c r="O46" s="25">
        <f t="shared" si="7"/>
        <v>21578.415757575756</v>
      </c>
      <c r="Q46">
        <f t="shared" si="8"/>
        <v>5131</v>
      </c>
      <c r="R46">
        <f t="shared" si="9"/>
        <v>6047</v>
      </c>
      <c r="S46" s="25">
        <f t="shared" si="18"/>
        <v>3106.3225615060828</v>
      </c>
      <c r="T46" s="25">
        <f t="shared" si="19"/>
        <v>5460.6451230121656</v>
      </c>
      <c r="U46" s="25">
        <f t="shared" si="10"/>
        <v>8237.3225615060837</v>
      </c>
      <c r="V46" s="25">
        <f t="shared" si="11"/>
        <v>11507.645123012166</v>
      </c>
      <c r="W46" s="25">
        <v>505.74909090909114</v>
      </c>
      <c r="X46" s="25">
        <f t="shared" si="20"/>
        <v>12013.394213921256</v>
      </c>
      <c r="Y46" s="24">
        <f t="shared" si="21"/>
        <v>0.52547675352862955</v>
      </c>
      <c r="Z46" s="24">
        <f t="shared" si="22"/>
        <v>0.71581305066782741</v>
      </c>
      <c r="AA46" s="24">
        <f t="shared" si="12"/>
        <v>0.66859599801554492</v>
      </c>
      <c r="AB46" s="24">
        <f t="shared" si="13"/>
        <v>0.84851992723664627</v>
      </c>
      <c r="AD46" s="24">
        <f t="shared" si="17"/>
        <v>0.33397785199507823</v>
      </c>
      <c r="AE46" s="25">
        <f t="shared" si="23"/>
        <v>3843.298599705241</v>
      </c>
      <c r="AF46" s="40">
        <f t="shared" si="15"/>
        <v>0.31991779602567139</v>
      </c>
      <c r="AG46" s="25">
        <f>+ships!G93</f>
        <v>442.50147945205481</v>
      </c>
      <c r="AI46" s="25">
        <f>+X46*0.597</f>
        <v>7171.9963457109898</v>
      </c>
      <c r="AJ46" s="25">
        <f>+'incomeVOC and total income'!Q45+'incomeVOC and total income'!M45+Population!M46</f>
        <v>2044.6451230121661</v>
      </c>
      <c r="AK46" s="25">
        <f>+X46-AI46-AJ46</f>
        <v>2796.7527451981</v>
      </c>
      <c r="AL46" s="24">
        <f>+AI46/X46</f>
        <v>0.59699999999999998</v>
      </c>
      <c r="AM46" s="24">
        <f>+AJ46/X46</f>
        <v>0.17019712219572453</v>
      </c>
      <c r="AN46" s="24">
        <f>+AK46/X46</f>
        <v>0.23280287780427547</v>
      </c>
    </row>
    <row r="47" spans="1:40" x14ac:dyDescent="0.2">
      <c r="A47">
        <v>1744</v>
      </c>
      <c r="B47">
        <v>1070</v>
      </c>
      <c r="C47">
        <v>730</v>
      </c>
      <c r="D47">
        <v>997</v>
      </c>
      <c r="E47">
        <v>1193</v>
      </c>
      <c r="F47">
        <v>121</v>
      </c>
      <c r="H47">
        <v>4049</v>
      </c>
      <c r="I47">
        <v>1178</v>
      </c>
      <c r="J47">
        <v>484</v>
      </c>
      <c r="K47">
        <v>425</v>
      </c>
      <c r="L47">
        <f>+'Company establishment'!B46</f>
        <v>1089</v>
      </c>
      <c r="M47" s="32">
        <v>330.18265878093302</v>
      </c>
      <c r="O47" s="25">
        <f t="shared" si="7"/>
        <v>21722.968484848487</v>
      </c>
      <c r="Q47">
        <f t="shared" si="8"/>
        <v>5227</v>
      </c>
      <c r="R47">
        <f t="shared" si="9"/>
        <v>6136</v>
      </c>
      <c r="S47" s="25">
        <f t="shared" si="18"/>
        <v>3175.0913293904664</v>
      </c>
      <c r="T47" s="25">
        <f t="shared" si="19"/>
        <v>5530.1826587809337</v>
      </c>
      <c r="U47" s="25">
        <f t="shared" si="10"/>
        <v>8402.0913293904669</v>
      </c>
      <c r="V47" s="25">
        <f t="shared" si="11"/>
        <v>11666.182658780934</v>
      </c>
      <c r="W47" s="25">
        <v>485.30181818181831</v>
      </c>
      <c r="X47" s="25">
        <f t="shared" si="20"/>
        <v>12151.484476962753</v>
      </c>
      <c r="Y47" s="24">
        <f t="shared" si="21"/>
        <v>0.52596467751870313</v>
      </c>
      <c r="Z47" s="24">
        <f t="shared" si="22"/>
        <v>0.72020913568212974</v>
      </c>
      <c r="AA47" s="24">
        <f t="shared" si="12"/>
        <v>0.65987614080834422</v>
      </c>
      <c r="AB47" s="24">
        <f t="shared" si="13"/>
        <v>0.85185788787483707</v>
      </c>
      <c r="AD47" s="24">
        <f>4200/12675</f>
        <v>0.33136094674556216</v>
      </c>
      <c r="AE47" s="25">
        <f t="shared" si="23"/>
        <v>3865.7173307203097</v>
      </c>
      <c r="AF47" s="40">
        <f t="shared" si="15"/>
        <v>0.31812716693578336</v>
      </c>
      <c r="AG47" s="25">
        <f>+ships!G94</f>
        <v>560.55890410958909</v>
      </c>
      <c r="AI47" s="25">
        <f>+X47*0.597</f>
        <v>7254.4362327467634</v>
      </c>
      <c r="AJ47" s="25">
        <f>+'incomeVOC and total income'!Q46+'incomeVOC and total income'!M46+Population!M47</f>
        <v>2169.1826587809328</v>
      </c>
      <c r="AK47" s="25">
        <f>+X47-AI47-AJ47</f>
        <v>2727.8655854350563</v>
      </c>
      <c r="AL47" s="24">
        <f>+AI47/X47</f>
        <v>0.59699999999999998</v>
      </c>
      <c r="AM47" s="24">
        <f>+AJ47/X47</f>
        <v>0.17851174174590373</v>
      </c>
      <c r="AN47" s="24">
        <f>+AK47/X47</f>
        <v>0.22448825825409627</v>
      </c>
    </row>
    <row r="48" spans="1:40" x14ac:dyDescent="0.2">
      <c r="A48">
        <v>1745</v>
      </c>
      <c r="B48">
        <v>1107</v>
      </c>
      <c r="C48">
        <v>732</v>
      </c>
      <c r="D48">
        <v>1028</v>
      </c>
      <c r="E48">
        <v>1193</v>
      </c>
      <c r="F48">
        <v>102</v>
      </c>
      <c r="H48">
        <v>4011</v>
      </c>
      <c r="I48">
        <v>1208</v>
      </c>
      <c r="J48">
        <v>534</v>
      </c>
      <c r="K48">
        <v>429</v>
      </c>
      <c r="L48">
        <f>+'Company establishment'!B47</f>
        <v>1204</v>
      </c>
      <c r="M48" s="32">
        <v>369.35802777050128</v>
      </c>
      <c r="O48" s="25">
        <f t="shared" si="7"/>
        <v>22006.173333333332</v>
      </c>
      <c r="Q48">
        <f t="shared" si="8"/>
        <v>5219</v>
      </c>
      <c r="R48">
        <f t="shared" si="9"/>
        <v>6182</v>
      </c>
      <c r="S48" s="25">
        <f t="shared" si="18"/>
        <v>3329.6790138852507</v>
      </c>
      <c r="T48" s="25">
        <f t="shared" si="19"/>
        <v>5735.3580277705005</v>
      </c>
      <c r="U48" s="25">
        <f t="shared" si="10"/>
        <v>8548.6790138852502</v>
      </c>
      <c r="V48" s="25">
        <f t="shared" si="11"/>
        <v>11917.3580277705</v>
      </c>
      <c r="W48" s="25">
        <v>460.84000000000015</v>
      </c>
      <c r="X48" s="25">
        <f t="shared" si="20"/>
        <v>12378.198027770501</v>
      </c>
      <c r="Y48" s="24">
        <f t="shared" si="21"/>
        <v>0.51873913543541739</v>
      </c>
      <c r="Z48" s="24">
        <f t="shared" si="22"/>
        <v>0.71733004865379024</v>
      </c>
      <c r="AA48" s="24">
        <f t="shared" si="12"/>
        <v>0.64881915237787124</v>
      </c>
      <c r="AB48" s="24">
        <f t="shared" si="13"/>
        <v>0.8442251698479456</v>
      </c>
      <c r="AD48" s="24">
        <f t="shared" si="17"/>
        <v>0.33136094674556216</v>
      </c>
      <c r="AE48" s="25">
        <f t="shared" si="23"/>
        <v>3948.9470387878587</v>
      </c>
      <c r="AF48" s="40">
        <f t="shared" si="15"/>
        <v>0.31902438706574188</v>
      </c>
      <c r="AG48" s="25">
        <f>+ships!G95</f>
        <v>531.50684931506851</v>
      </c>
      <c r="AI48" s="25">
        <f>+X48*0.597</f>
        <v>7389.7842225789882</v>
      </c>
      <c r="AJ48" s="25">
        <f>+'incomeVOC and total income'!Q47+'incomeVOC and total income'!M47+Population!M48</f>
        <v>2393.3580277705014</v>
      </c>
      <c r="AK48" s="25">
        <f>+X48-AI48-AJ48</f>
        <v>2595.055777421011</v>
      </c>
      <c r="AL48" s="24">
        <f>+AI48/X48</f>
        <v>0.59699999999999998</v>
      </c>
      <c r="AM48" s="24">
        <f>+AJ48/X48</f>
        <v>0.19335270145145522</v>
      </c>
      <c r="AN48" s="24">
        <f>+AK48/X48</f>
        <v>0.20964729854854483</v>
      </c>
    </row>
    <row r="49" spans="1:40" x14ac:dyDescent="0.2">
      <c r="A49">
        <v>1746</v>
      </c>
      <c r="B49">
        <v>1202</v>
      </c>
      <c r="C49">
        <v>782</v>
      </c>
      <c r="D49">
        <v>1074</v>
      </c>
      <c r="E49">
        <v>1265</v>
      </c>
      <c r="F49">
        <v>109</v>
      </c>
      <c r="H49">
        <v>3948</v>
      </c>
      <c r="I49">
        <v>1176</v>
      </c>
      <c r="J49">
        <v>535</v>
      </c>
      <c r="K49">
        <v>443</v>
      </c>
      <c r="L49">
        <f>+'Company establishment'!B48</f>
        <v>1195</v>
      </c>
      <c r="M49" s="32">
        <v>370.9228909761967</v>
      </c>
      <c r="O49" s="25">
        <f t="shared" si="7"/>
        <v>22021.334060606059</v>
      </c>
      <c r="Q49">
        <f t="shared" si="8"/>
        <v>5124</v>
      </c>
      <c r="R49">
        <f t="shared" si="9"/>
        <v>6102</v>
      </c>
      <c r="S49" s="25">
        <f t="shared" si="18"/>
        <v>3473.4614454880984</v>
      </c>
      <c r="T49" s="25">
        <f t="shared" si="19"/>
        <v>5997.9228909761969</v>
      </c>
      <c r="U49" s="25">
        <f t="shared" si="10"/>
        <v>8597.4614454880975</v>
      </c>
      <c r="V49" s="25">
        <f t="shared" si="11"/>
        <v>12099.922890976197</v>
      </c>
      <c r="W49" s="25">
        <v>446.00072727272737</v>
      </c>
      <c r="X49" s="25">
        <f t="shared" si="20"/>
        <v>12545.923618248924</v>
      </c>
      <c r="Y49" s="24">
        <f t="shared" si="21"/>
        <v>0.50430073439151502</v>
      </c>
      <c r="Z49" s="24">
        <f t="shared" si="22"/>
        <v>0.71053853177030224</v>
      </c>
      <c r="AA49" s="24">
        <f t="shared" si="12"/>
        <v>0.64700098328416911</v>
      </c>
      <c r="AB49" s="24">
        <f t="shared" si="13"/>
        <v>0.83972468043264503</v>
      </c>
      <c r="AD49" s="24">
        <f t="shared" si="17"/>
        <v>0.33136094674556216</v>
      </c>
      <c r="AE49" s="25">
        <f t="shared" si="23"/>
        <v>4009.441904702172</v>
      </c>
      <c r="AF49" s="40">
        <f t="shared" si="15"/>
        <v>0.31958124620415818</v>
      </c>
      <c r="AG49" s="25">
        <f>+ships!G96</f>
        <v>529.52642739726025</v>
      </c>
      <c r="AI49" s="25">
        <f>+X49*0.597</f>
        <v>7489.9164000946075</v>
      </c>
      <c r="AJ49" s="25">
        <f>+'incomeVOC and total income'!Q48+'incomeVOC and total income'!M48+Population!M49</f>
        <v>2390.9228909761969</v>
      </c>
      <c r="AK49" s="25">
        <f>+X49-AI49-AJ49</f>
        <v>2665.0843271781196</v>
      </c>
      <c r="AL49" s="24">
        <f>+AI49/X49</f>
        <v>0.59699999999999998</v>
      </c>
      <c r="AM49" s="24">
        <f>+AJ49/X49</f>
        <v>0.19057368462680835</v>
      </c>
      <c r="AN49" s="24">
        <f>+AK49/X49</f>
        <v>0.21242631537319165</v>
      </c>
    </row>
    <row r="50" spans="1:40" x14ac:dyDescent="0.2">
      <c r="A50">
        <v>1747</v>
      </c>
      <c r="B50">
        <v>1221</v>
      </c>
      <c r="C50">
        <v>811</v>
      </c>
      <c r="D50">
        <v>1099</v>
      </c>
      <c r="E50">
        <v>1295</v>
      </c>
      <c r="F50">
        <v>101</v>
      </c>
      <c r="H50">
        <v>3984</v>
      </c>
      <c r="I50">
        <v>1178</v>
      </c>
      <c r="J50">
        <v>521</v>
      </c>
      <c r="K50">
        <v>454</v>
      </c>
      <c r="L50">
        <f>+'Company establishment'!B49</f>
        <v>1318</v>
      </c>
      <c r="M50" s="32">
        <v>413.92896357844813</v>
      </c>
      <c r="O50" s="25">
        <f t="shared" si="7"/>
        <v>22667.861151515153</v>
      </c>
      <c r="Q50">
        <f t="shared" si="8"/>
        <v>5162</v>
      </c>
      <c r="R50">
        <f t="shared" si="9"/>
        <v>6137</v>
      </c>
      <c r="S50" s="25">
        <f t="shared" si="18"/>
        <v>3657.964481789224</v>
      </c>
      <c r="T50" s="25">
        <f t="shared" si="19"/>
        <v>6258.928963578448</v>
      </c>
      <c r="U50" s="25">
        <f t="shared" si="10"/>
        <v>8819.964481789224</v>
      </c>
      <c r="V50" s="25">
        <f t="shared" si="11"/>
        <v>12395.928963578448</v>
      </c>
      <c r="W50" s="25">
        <v>467.52781818181819</v>
      </c>
      <c r="X50" s="25">
        <f t="shared" si="20"/>
        <v>12863.456781760266</v>
      </c>
      <c r="Y50" s="24">
        <f t="shared" si="21"/>
        <v>0.49508189487303866</v>
      </c>
      <c r="Z50" s="24">
        <f t="shared" si="22"/>
        <v>0.711521057252258</v>
      </c>
      <c r="AA50" s="24">
        <f t="shared" si="12"/>
        <v>0.6491771223724947</v>
      </c>
      <c r="AB50" s="24">
        <f t="shared" si="13"/>
        <v>0.84112758676877952</v>
      </c>
      <c r="AD50" s="24">
        <f t="shared" si="17"/>
        <v>0.33136094674556216</v>
      </c>
      <c r="AE50" s="25">
        <f t="shared" si="23"/>
        <v>4107.5267571620898</v>
      </c>
      <c r="AF50" s="40">
        <f t="shared" si="15"/>
        <v>0.31931749193469955</v>
      </c>
      <c r="AG50" s="25">
        <f>+ships!G97</f>
        <v>598.00748767123287</v>
      </c>
      <c r="AI50" s="25">
        <f>+X50*0.597</f>
        <v>7679.4836987108783</v>
      </c>
      <c r="AJ50" s="25">
        <f>+'incomeVOC and total income'!Q49+'incomeVOC and total income'!M49+Population!M50</f>
        <v>2532.928963578448</v>
      </c>
      <c r="AK50" s="25">
        <f>+X50-AI50-AJ50</f>
        <v>2651.0441194709392</v>
      </c>
      <c r="AL50" s="24">
        <f>+AI50/X50</f>
        <v>0.59699999999999998</v>
      </c>
      <c r="AM50" s="24">
        <f>+AJ50/X50</f>
        <v>0.19690888744384899</v>
      </c>
      <c r="AN50" s="24">
        <f>+AK50/X50</f>
        <v>0.20609111255615103</v>
      </c>
    </row>
    <row r="51" spans="1:40" x14ac:dyDescent="0.2">
      <c r="A51">
        <v>1748</v>
      </c>
      <c r="B51">
        <v>1294</v>
      </c>
      <c r="C51">
        <v>830</v>
      </c>
      <c r="D51">
        <v>1086</v>
      </c>
      <c r="E51">
        <v>1298</v>
      </c>
      <c r="F51">
        <v>81</v>
      </c>
      <c r="H51">
        <v>4065</v>
      </c>
      <c r="I51">
        <v>1193</v>
      </c>
      <c r="J51">
        <v>538</v>
      </c>
      <c r="K51">
        <v>442</v>
      </c>
      <c r="L51">
        <f>+'Company establishment'!B50</f>
        <v>1353</v>
      </c>
      <c r="M51" s="32">
        <v>429.9350752630923</v>
      </c>
      <c r="O51" s="25">
        <f t="shared" si="7"/>
        <v>23143.50327272727</v>
      </c>
      <c r="Q51">
        <f t="shared" si="8"/>
        <v>5258</v>
      </c>
      <c r="R51">
        <f t="shared" si="9"/>
        <v>6238</v>
      </c>
      <c r="S51" s="25">
        <f t="shared" si="18"/>
        <v>3772.9675376315463</v>
      </c>
      <c r="T51" s="25">
        <f t="shared" si="19"/>
        <v>6371.9350752630926</v>
      </c>
      <c r="U51" s="25">
        <f t="shared" si="10"/>
        <v>9030.9675376315463</v>
      </c>
      <c r="V51" s="25">
        <f t="shared" si="11"/>
        <v>12609.935075263093</v>
      </c>
      <c r="W51" s="25">
        <v>494.5032727272727</v>
      </c>
      <c r="X51" s="25">
        <f t="shared" si="20"/>
        <v>13104.438347990364</v>
      </c>
      <c r="Y51" s="24">
        <f t="shared" si="21"/>
        <v>0.49468930353472507</v>
      </c>
      <c r="Z51" s="24">
        <f t="shared" si="22"/>
        <v>0.71617874982937813</v>
      </c>
      <c r="AA51" s="24">
        <f t="shared" si="12"/>
        <v>0.65165117024687402</v>
      </c>
      <c r="AB51" s="24">
        <f t="shared" si="13"/>
        <v>0.84289836486053227</v>
      </c>
      <c r="AD51" s="24">
        <f t="shared" si="17"/>
        <v>0.33136094674556216</v>
      </c>
      <c r="AE51" s="25">
        <f t="shared" si="23"/>
        <v>4178.4400249392502</v>
      </c>
      <c r="AF51" s="40">
        <f t="shared" si="15"/>
        <v>0.31885685704187666</v>
      </c>
      <c r="AG51" s="25">
        <f>+ships!G98</f>
        <v>818.8812465753424</v>
      </c>
      <c r="AI51" s="25">
        <f>+X51*0.597</f>
        <v>7823.3496937502468</v>
      </c>
      <c r="AJ51" s="25">
        <f>+'incomeVOC and total income'!Q50+'incomeVOC and total income'!M50+Population!M51</f>
        <v>2614.9350752630921</v>
      </c>
      <c r="AK51" s="25">
        <f>+X51-AI51-AJ51</f>
        <v>2666.1535789770255</v>
      </c>
      <c r="AL51" s="24">
        <f>+AI51/X51</f>
        <v>0.59699999999999998</v>
      </c>
      <c r="AM51" s="24">
        <f>+AJ51/X51</f>
        <v>0.19954575738563465</v>
      </c>
      <c r="AN51" s="24">
        <f>+AK51/X51</f>
        <v>0.20345424261436543</v>
      </c>
    </row>
    <row r="52" spans="1:40" x14ac:dyDescent="0.2">
      <c r="A52">
        <v>1749</v>
      </c>
      <c r="B52">
        <v>1318</v>
      </c>
      <c r="C52">
        <v>872</v>
      </c>
      <c r="D52">
        <v>1157</v>
      </c>
      <c r="E52">
        <v>1315</v>
      </c>
      <c r="F52">
        <v>83</v>
      </c>
      <c r="H52">
        <v>4277</v>
      </c>
      <c r="I52">
        <v>1221</v>
      </c>
      <c r="J52">
        <v>556</v>
      </c>
      <c r="K52">
        <v>466</v>
      </c>
      <c r="L52">
        <f>+'Company establishment'!B51</f>
        <v>1067</v>
      </c>
      <c r="M52" s="32">
        <v>343.05533323305764</v>
      </c>
      <c r="O52" s="25">
        <f t="shared" si="7"/>
        <v>23095.344242424246</v>
      </c>
      <c r="Q52">
        <f t="shared" si="8"/>
        <v>5498</v>
      </c>
      <c r="R52">
        <f t="shared" si="9"/>
        <v>6520</v>
      </c>
      <c r="S52" s="25">
        <f t="shared" si="18"/>
        <v>3511.5276666165287</v>
      </c>
      <c r="T52" s="25">
        <f t="shared" si="19"/>
        <v>6155.0553332330574</v>
      </c>
      <c r="U52" s="25">
        <f t="shared" si="10"/>
        <v>9009.5276666165282</v>
      </c>
      <c r="V52" s="25">
        <f t="shared" si="11"/>
        <v>12675.055333233056</v>
      </c>
      <c r="W52" s="25">
        <v>537.01090909090908</v>
      </c>
      <c r="X52" s="25">
        <f t="shared" si="20"/>
        <v>13212.066242323966</v>
      </c>
      <c r="Y52" s="24">
        <f t="shared" si="21"/>
        <v>0.51439617647309532</v>
      </c>
      <c r="Z52" s="24">
        <f t="shared" si="22"/>
        <v>0.7108077582110599</v>
      </c>
      <c r="AA52" s="24">
        <f t="shared" si="12"/>
        <v>0.65598159509202458</v>
      </c>
      <c r="AB52" s="24">
        <f t="shared" si="13"/>
        <v>0.84325153374233131</v>
      </c>
      <c r="AD52" s="24">
        <f>4600/13716</f>
        <v>0.33537474482356372</v>
      </c>
      <c r="AE52" s="25">
        <f t="shared" si="23"/>
        <v>4250.8934480075868</v>
      </c>
      <c r="AF52" s="40">
        <f t="shared" si="15"/>
        <v>0.32174327391654572</v>
      </c>
      <c r="AG52" s="25">
        <f>+ships!G99</f>
        <v>496.47056986301368</v>
      </c>
      <c r="AI52" s="25">
        <f>+X52*0.597</f>
        <v>7887.6035466674075</v>
      </c>
      <c r="AJ52" s="25">
        <f>+'incomeVOC and total income'!Q51+'incomeVOC and total income'!M51+Population!M52</f>
        <v>2196.0553332330578</v>
      </c>
      <c r="AK52" s="25">
        <f>+X52-AI52-AJ52</f>
        <v>3128.4073624235011</v>
      </c>
      <c r="AL52" s="24">
        <f>+AI52/X52</f>
        <v>0.59699999999999998</v>
      </c>
      <c r="AM52" s="24">
        <f>+AJ52/X52</f>
        <v>0.16621588879097066</v>
      </c>
      <c r="AN52" s="24">
        <f>+AK52/X52</f>
        <v>0.2367841112090294</v>
      </c>
    </row>
    <row r="53" spans="1:40" x14ac:dyDescent="0.2">
      <c r="A53">
        <v>1750</v>
      </c>
      <c r="B53">
        <v>1364</v>
      </c>
      <c r="C53">
        <v>902</v>
      </c>
      <c r="D53">
        <v>1216</v>
      </c>
      <c r="E53">
        <v>1378</v>
      </c>
      <c r="F53">
        <v>72</v>
      </c>
      <c r="H53">
        <v>4400</v>
      </c>
      <c r="I53">
        <v>1237</v>
      </c>
      <c r="J53">
        <v>558</v>
      </c>
      <c r="K53">
        <v>532</v>
      </c>
      <c r="L53">
        <f>+'Company establishment'!B52</f>
        <v>1331</v>
      </c>
      <c r="M53" s="32">
        <v>432.98463635041372</v>
      </c>
      <c r="O53" s="25">
        <f t="shared" si="7"/>
        <v>24610.186060606062</v>
      </c>
      <c r="Q53">
        <f t="shared" si="8"/>
        <v>5637</v>
      </c>
      <c r="R53">
        <f t="shared" si="9"/>
        <v>6727</v>
      </c>
      <c r="S53" s="25">
        <f t="shared" si="18"/>
        <v>3885.4923181752069</v>
      </c>
      <c r="T53" s="25">
        <f t="shared" si="19"/>
        <v>6695.9846363504139</v>
      </c>
      <c r="U53" s="25">
        <f t="shared" si="10"/>
        <v>9522.4923181752074</v>
      </c>
      <c r="V53" s="25">
        <f t="shared" si="11"/>
        <v>13422.984636350415</v>
      </c>
      <c r="W53" s="25">
        <v>574.85272727272729</v>
      </c>
      <c r="X53" s="25">
        <f t="shared" si="20"/>
        <v>13997.837363623143</v>
      </c>
      <c r="Y53" s="24">
        <f t="shared" si="21"/>
        <v>0.50115530802164499</v>
      </c>
      <c r="Z53" s="24">
        <f t="shared" si="22"/>
        <v>0.70941691256858097</v>
      </c>
      <c r="AA53" s="24">
        <f t="shared" si="12"/>
        <v>0.65408057083395277</v>
      </c>
      <c r="AB53" s="24">
        <f t="shared" si="13"/>
        <v>0.83796640404340716</v>
      </c>
      <c r="AD53" s="24">
        <f t="shared" si="17"/>
        <v>0.33537474482356372</v>
      </c>
      <c r="AE53" s="25">
        <f t="shared" si="23"/>
        <v>4501.7300471866365</v>
      </c>
      <c r="AF53" s="40">
        <f t="shared" si="15"/>
        <v>0.32160182535664406</v>
      </c>
      <c r="AG53" s="25">
        <f>+ships!G100</f>
        <v>521.6615205479452</v>
      </c>
      <c r="AI53" s="25">
        <f>+X53*0.597</f>
        <v>8356.7089060830167</v>
      </c>
      <c r="AJ53" s="25">
        <f>+'incomeVOC and total income'!Q52+'incomeVOC and total income'!M52+Population!M53</f>
        <v>2475.9846363504139</v>
      </c>
      <c r="AK53" s="25">
        <f>+X53-AI53-AJ53</f>
        <v>3165.1438211897121</v>
      </c>
      <c r="AL53" s="24">
        <f>+AI53/X53</f>
        <v>0.59700000000000009</v>
      </c>
      <c r="AM53" s="24">
        <f>+AJ53/X53</f>
        <v>0.17688336933995782</v>
      </c>
      <c r="AN53" s="24">
        <f>+AK53/X53</f>
        <v>0.22611663066004214</v>
      </c>
    </row>
    <row r="54" spans="1:40" x14ac:dyDescent="0.2">
      <c r="A54">
        <v>1751</v>
      </c>
      <c r="B54">
        <v>1393</v>
      </c>
      <c r="C54">
        <v>922</v>
      </c>
      <c r="D54">
        <v>1226</v>
      </c>
      <c r="E54">
        <v>1400</v>
      </c>
      <c r="F54">
        <v>83</v>
      </c>
      <c r="H54">
        <v>4564</v>
      </c>
      <c r="I54">
        <v>1296</v>
      </c>
      <c r="J54">
        <v>566</v>
      </c>
      <c r="K54">
        <v>441</v>
      </c>
      <c r="L54">
        <f>+'Company establishment'!B53</f>
        <v>1334</v>
      </c>
      <c r="M54" s="32">
        <v>439.08129425181903</v>
      </c>
      <c r="O54" s="25">
        <f t="shared" si="7"/>
        <v>25292.041636363632</v>
      </c>
      <c r="Q54">
        <f t="shared" si="8"/>
        <v>5860</v>
      </c>
      <c r="R54">
        <f t="shared" si="9"/>
        <v>6867</v>
      </c>
      <c r="S54" s="25">
        <f t="shared" si="18"/>
        <v>3951.5406471259093</v>
      </c>
      <c r="T54" s="25">
        <f t="shared" si="19"/>
        <v>6797.0812942518187</v>
      </c>
      <c r="U54" s="25">
        <f t="shared" si="10"/>
        <v>9811.5406471259084</v>
      </c>
      <c r="V54" s="25">
        <f t="shared" si="11"/>
        <v>13664.081294251819</v>
      </c>
      <c r="W54" s="25">
        <v>608.04163636363637</v>
      </c>
      <c r="X54" s="25">
        <f t="shared" si="20"/>
        <v>14272.122930615455</v>
      </c>
      <c r="Y54" s="24">
        <f t="shared" si="21"/>
        <v>0.50255848542768822</v>
      </c>
      <c r="Z54" s="24">
        <f t="shared" si="22"/>
        <v>0.71805344507525803</v>
      </c>
      <c r="AA54" s="24">
        <f t="shared" si="12"/>
        <v>0.66462793068297654</v>
      </c>
      <c r="AB54" s="24">
        <f t="shared" si="13"/>
        <v>0.85335663317314692</v>
      </c>
      <c r="AD54" s="24">
        <f t="shared" si="17"/>
        <v>0.33537474482356372</v>
      </c>
      <c r="AE54" s="25">
        <f t="shared" si="23"/>
        <v>4582.5877773081338</v>
      </c>
      <c r="AF54" s="40">
        <f t="shared" si="15"/>
        <v>0.32108662457481507</v>
      </c>
      <c r="AG54" s="25">
        <f>+ships!G101</f>
        <v>471.37428493150685</v>
      </c>
      <c r="AI54" s="25">
        <f>+X54*0.597</f>
        <v>8520.4573895774265</v>
      </c>
      <c r="AJ54" s="25">
        <f>+'incomeVOC and total income'!Q53+'incomeVOC and total income'!M53+Population!M54</f>
        <v>2458.0812942518191</v>
      </c>
      <c r="AK54" s="25">
        <f>+X54-AI54-AJ54</f>
        <v>3293.584246786209</v>
      </c>
      <c r="AL54" s="24">
        <f>+AI54/X54</f>
        <v>0.59699999999999998</v>
      </c>
      <c r="AM54" s="24">
        <f>+AJ54/X54</f>
        <v>0.17222954890466458</v>
      </c>
      <c r="AN54" s="24">
        <f>+AK54/X54</f>
        <v>0.23077045109533542</v>
      </c>
    </row>
    <row r="55" spans="1:40" x14ac:dyDescent="0.2">
      <c r="A55">
        <v>1752</v>
      </c>
      <c r="B55">
        <v>1416</v>
      </c>
      <c r="C55">
        <v>968</v>
      </c>
      <c r="D55">
        <v>1277</v>
      </c>
      <c r="E55">
        <v>1421</v>
      </c>
      <c r="F55">
        <v>88</v>
      </c>
      <c r="H55">
        <v>4807</v>
      </c>
      <c r="I55">
        <v>1354</v>
      </c>
      <c r="J55">
        <v>573</v>
      </c>
      <c r="K55">
        <v>459</v>
      </c>
      <c r="L55">
        <f>+'Company establishment'!B54</f>
        <v>1563</v>
      </c>
      <c r="M55" s="32">
        <v>520.52639794452557</v>
      </c>
      <c r="O55" s="25">
        <f t="shared" si="7"/>
        <v>27062.473696969697</v>
      </c>
      <c r="Q55">
        <f t="shared" si="8"/>
        <v>6161</v>
      </c>
      <c r="R55">
        <f t="shared" si="9"/>
        <v>7193</v>
      </c>
      <c r="S55" s="25">
        <f t="shared" si="18"/>
        <v>4295.2631989722631</v>
      </c>
      <c r="T55" s="25">
        <f t="shared" si="19"/>
        <v>7253.5263979445263</v>
      </c>
      <c r="U55" s="25">
        <f t="shared" si="10"/>
        <v>10456.263198972263</v>
      </c>
      <c r="V55" s="25">
        <f t="shared" si="11"/>
        <v>14446.526397944526</v>
      </c>
      <c r="W55" s="25">
        <v>659.14036363636365</v>
      </c>
      <c r="X55" s="25">
        <f t="shared" si="20"/>
        <v>15105.666761580889</v>
      </c>
      <c r="Y55" s="24">
        <f t="shared" si="21"/>
        <v>0.49790515739641267</v>
      </c>
      <c r="Z55" s="24">
        <f t="shared" si="22"/>
        <v>0.72379082077889645</v>
      </c>
      <c r="AA55" s="24">
        <f t="shared" si="12"/>
        <v>0.66828861393020988</v>
      </c>
      <c r="AB55" s="24">
        <f t="shared" si="13"/>
        <v>0.85652717920200194</v>
      </c>
      <c r="AD55" s="24">
        <f t="shared" si="17"/>
        <v>0.33537474482356372</v>
      </c>
      <c r="AE55" s="25">
        <f t="shared" si="23"/>
        <v>4845.0001042975227</v>
      </c>
      <c r="AF55" s="40">
        <f t="shared" si="15"/>
        <v>0.32074056582660027</v>
      </c>
      <c r="AG55" s="25">
        <f>+ships!G102</f>
        <v>524.23485479452052</v>
      </c>
      <c r="AI55" s="25">
        <f>+X55*0.597</f>
        <v>9018.0830566637906</v>
      </c>
      <c r="AJ55" s="25">
        <f>+'incomeVOC and total income'!Q54+'incomeVOC and total income'!M54+Population!M55</f>
        <v>2727.5263979445253</v>
      </c>
      <c r="AK55" s="25">
        <f>+X55-AI55-AJ55</f>
        <v>3360.0573069725733</v>
      </c>
      <c r="AL55" s="24">
        <f>+AI55/X55</f>
        <v>0.59699999999999998</v>
      </c>
      <c r="AM55" s="24">
        <f>+AJ55/X55</f>
        <v>0.18056312514993381</v>
      </c>
      <c r="AN55" s="24">
        <f>+AK55/X55</f>
        <v>0.22243687485006622</v>
      </c>
    </row>
    <row r="56" spans="1:40" x14ac:dyDescent="0.2">
      <c r="A56">
        <v>1753</v>
      </c>
      <c r="B56">
        <v>1478</v>
      </c>
      <c r="C56">
        <v>1026</v>
      </c>
      <c r="D56">
        <v>1396</v>
      </c>
      <c r="E56">
        <v>1519</v>
      </c>
      <c r="F56">
        <v>114</v>
      </c>
      <c r="H56">
        <v>4962</v>
      </c>
      <c r="I56">
        <v>1404</v>
      </c>
      <c r="J56">
        <v>627</v>
      </c>
      <c r="K56">
        <v>454</v>
      </c>
      <c r="L56">
        <f>+'Company establishment'!B55</f>
        <v>1439</v>
      </c>
      <c r="M56" s="32">
        <v>484.88555917117725</v>
      </c>
      <c r="O56" s="25">
        <f t="shared" si="7"/>
        <v>27575.100666666665</v>
      </c>
      <c r="Q56">
        <f t="shared" si="8"/>
        <v>6366</v>
      </c>
      <c r="R56">
        <f t="shared" si="9"/>
        <v>7447</v>
      </c>
      <c r="S56" s="25">
        <f t="shared" si="18"/>
        <v>4299.4427795855891</v>
      </c>
      <c r="T56" s="25">
        <f t="shared" si="19"/>
        <v>7456.8855591711781</v>
      </c>
      <c r="U56" s="25">
        <f t="shared" si="10"/>
        <v>10665.442779585588</v>
      </c>
      <c r="V56" s="25">
        <f t="shared" si="11"/>
        <v>14903.885559171178</v>
      </c>
      <c r="W56" s="25">
        <v>705.43399999999997</v>
      </c>
      <c r="X56" s="25">
        <f t="shared" si="20"/>
        <v>15609.319559171177</v>
      </c>
      <c r="Y56" s="24">
        <f t="shared" si="21"/>
        <v>0.49966835631111328</v>
      </c>
      <c r="Z56" s="24">
        <f t="shared" si="22"/>
        <v>0.71561491379156195</v>
      </c>
      <c r="AA56" s="24">
        <f t="shared" si="12"/>
        <v>0.66630858063649789</v>
      </c>
      <c r="AB56" s="24">
        <f t="shared" si="13"/>
        <v>0.85484087552034371</v>
      </c>
      <c r="AD56" s="24">
        <f t="shared" si="17"/>
        <v>0.33537474482356372</v>
      </c>
      <c r="AE56" s="25">
        <f t="shared" si="23"/>
        <v>4998.3868162866302</v>
      </c>
      <c r="AF56" s="40">
        <f t="shared" si="15"/>
        <v>0.32021811055497629</v>
      </c>
      <c r="AG56" s="25">
        <f>+ships!G103</f>
        <v>624.40246027397257</v>
      </c>
      <c r="AI56" s="25">
        <f>+X56*0.597</f>
        <v>9318.7637768251934</v>
      </c>
      <c r="AJ56" s="25">
        <f>+'incomeVOC and total income'!Q55+'incomeVOC and total income'!M55+Population!M56</f>
        <v>2617.8855591711772</v>
      </c>
      <c r="AK56" s="25">
        <f>+X56-AI56-AJ56</f>
        <v>3672.6702231748068</v>
      </c>
      <c r="AL56" s="24">
        <f>+AI56/X56</f>
        <v>0.59700000000000009</v>
      </c>
      <c r="AM56" s="24">
        <f>+AJ56/X56</f>
        <v>0.16771298385220459</v>
      </c>
      <c r="AN56" s="24">
        <f>+AK56/X56</f>
        <v>0.23528701614779537</v>
      </c>
    </row>
    <row r="57" spans="1:40" x14ac:dyDescent="0.2">
      <c r="A57">
        <v>1754</v>
      </c>
      <c r="B57">
        <v>1499</v>
      </c>
      <c r="C57">
        <v>1040</v>
      </c>
      <c r="D57">
        <v>1428</v>
      </c>
      <c r="E57">
        <v>1552</v>
      </c>
      <c r="F57">
        <v>103</v>
      </c>
      <c r="H57">
        <v>5018</v>
      </c>
      <c r="I57">
        <v>1455</v>
      </c>
      <c r="J57">
        <v>615</v>
      </c>
      <c r="K57">
        <v>468</v>
      </c>
      <c r="L57">
        <f>+'Company establishment'!B56</f>
        <v>1503</v>
      </c>
      <c r="M57" s="32">
        <v>512.42712632411667</v>
      </c>
      <c r="O57" s="25">
        <f t="shared" si="7"/>
        <v>28097.78084848485</v>
      </c>
      <c r="Q57">
        <f t="shared" si="8"/>
        <v>6473</v>
      </c>
      <c r="R57">
        <f t="shared" si="9"/>
        <v>7556</v>
      </c>
      <c r="S57" s="25">
        <f t="shared" si="18"/>
        <v>4401.2135631620586</v>
      </c>
      <c r="T57" s="25">
        <f t="shared" si="19"/>
        <v>7637.4271263241171</v>
      </c>
      <c r="U57" s="25">
        <f t="shared" si="10"/>
        <v>10874.213563162059</v>
      </c>
      <c r="V57" s="25">
        <f t="shared" si="11"/>
        <v>15193.427126324117</v>
      </c>
      <c r="W57" s="25">
        <v>739.11418181818169</v>
      </c>
      <c r="X57" s="25">
        <f t="shared" si="20"/>
        <v>15932.541308142299</v>
      </c>
      <c r="Y57" s="24">
        <f t="shared" si="21"/>
        <v>0.49732031734357562</v>
      </c>
      <c r="Z57" s="24">
        <f t="shared" si="22"/>
        <v>0.71571828217225641</v>
      </c>
      <c r="AA57" s="24">
        <f t="shared" si="12"/>
        <v>0.66410799364743245</v>
      </c>
      <c r="AB57" s="24">
        <f t="shared" si="13"/>
        <v>0.85667019587083115</v>
      </c>
      <c r="AD57" s="24">
        <f>5000/15074</f>
        <v>0.33169696165583124</v>
      </c>
      <c r="AE57" s="25">
        <f t="shared" si="23"/>
        <v>5039.6136149409967</v>
      </c>
      <c r="AF57" s="40">
        <f t="shared" si="15"/>
        <v>0.31630946485389061</v>
      </c>
      <c r="AG57" s="25">
        <f>+ships!G104</f>
        <v>465.60397534246573</v>
      </c>
      <c r="AI57" s="25">
        <f>+X57*0.597</f>
        <v>9511.7271609609525</v>
      </c>
      <c r="AJ57" s="25">
        <f>+'incomeVOC and total income'!Q56+'incomeVOC and total income'!M56+Population!M57</f>
        <v>2696.4271263241167</v>
      </c>
      <c r="AK57" s="25">
        <f>+X57-AI57-AJ57</f>
        <v>3724.3870208572303</v>
      </c>
      <c r="AL57" s="24">
        <f>+AI57/X57</f>
        <v>0.59699999999999998</v>
      </c>
      <c r="AM57" s="24">
        <f>+AJ57/X57</f>
        <v>0.16924024072331209</v>
      </c>
      <c r="AN57" s="24">
        <f>+AK57/X57</f>
        <v>0.23375975927668791</v>
      </c>
    </row>
    <row r="58" spans="1:40" x14ac:dyDescent="0.2">
      <c r="A58">
        <v>1755</v>
      </c>
      <c r="B58">
        <v>1597</v>
      </c>
      <c r="C58">
        <v>1110</v>
      </c>
      <c r="D58">
        <v>1662</v>
      </c>
      <c r="E58">
        <v>1655</v>
      </c>
      <c r="F58">
        <v>96</v>
      </c>
      <c r="H58">
        <v>4628</v>
      </c>
      <c r="I58">
        <v>1288</v>
      </c>
      <c r="J58">
        <v>465</v>
      </c>
      <c r="K58">
        <v>385</v>
      </c>
      <c r="L58">
        <f>+'Company establishment'!B57</f>
        <v>1492</v>
      </c>
      <c r="M58" s="32">
        <v>514.67921456473312</v>
      </c>
      <c r="O58" s="25">
        <f t="shared" si="7"/>
        <v>27202.750909090915</v>
      </c>
      <c r="Q58">
        <f t="shared" si="8"/>
        <v>5916</v>
      </c>
      <c r="R58">
        <f t="shared" si="9"/>
        <v>6766</v>
      </c>
      <c r="S58" s="25">
        <f t="shared" si="18"/>
        <v>4552.3396072823662</v>
      </c>
      <c r="T58" s="25">
        <f t="shared" si="19"/>
        <v>8126.6792145647323</v>
      </c>
      <c r="U58" s="25">
        <f t="shared" si="10"/>
        <v>10468.339607282367</v>
      </c>
      <c r="V58" s="25">
        <f t="shared" si="11"/>
        <v>14892.679214564732</v>
      </c>
      <c r="W58" s="25">
        <v>682.7509090909092</v>
      </c>
      <c r="X58" s="25">
        <f t="shared" si="20"/>
        <v>15575.430123655642</v>
      </c>
      <c r="Y58" s="24">
        <f t="shared" si="21"/>
        <v>0.45431717842837788</v>
      </c>
      <c r="Z58" s="24">
        <f t="shared" si="22"/>
        <v>0.70291849145884688</v>
      </c>
      <c r="AA58" s="24">
        <f t="shared" si="12"/>
        <v>0.68400827667750519</v>
      </c>
      <c r="AB58" s="24">
        <f t="shared" si="13"/>
        <v>0.87437185929648242</v>
      </c>
      <c r="AD58" s="24">
        <f t="shared" si="17"/>
        <v>0.33169696165583124</v>
      </c>
      <c r="AE58" s="25">
        <f t="shared" si="23"/>
        <v>4939.856446386073</v>
      </c>
      <c r="AF58" s="40">
        <f t="shared" si="15"/>
        <v>0.31715698424812816</v>
      </c>
      <c r="AG58" s="25">
        <f>+ships!G105</f>
        <v>416.09587397260276</v>
      </c>
      <c r="AI58" s="25">
        <f>+X58*0.597</f>
        <v>9298.5317838224182</v>
      </c>
      <c r="AJ58" s="25">
        <f>+'incomeVOC and total income'!Q57+'incomeVOC and total income'!M57+Population!M58</f>
        <v>2514.6792145647332</v>
      </c>
      <c r="AK58" s="25">
        <f>+X58-AI58-AJ58</f>
        <v>3762.2191252684906</v>
      </c>
      <c r="AL58" s="24">
        <f>+AI58/X58</f>
        <v>0.59699999999999998</v>
      </c>
      <c r="AM58" s="24">
        <f>+AJ58/X58</f>
        <v>0.16145167065052607</v>
      </c>
      <c r="AN58" s="24">
        <f>+AK58/X58</f>
        <v>0.24154832934947393</v>
      </c>
    </row>
    <row r="59" spans="1:40" x14ac:dyDescent="0.2">
      <c r="A59">
        <v>1756</v>
      </c>
      <c r="B59">
        <v>1461</v>
      </c>
      <c r="C59">
        <v>993</v>
      </c>
      <c r="D59">
        <v>1384</v>
      </c>
      <c r="E59">
        <v>1285</v>
      </c>
      <c r="F59">
        <v>90</v>
      </c>
      <c r="H59">
        <v>4743</v>
      </c>
      <c r="I59">
        <v>1342</v>
      </c>
      <c r="J59">
        <v>510</v>
      </c>
      <c r="K59">
        <v>419</v>
      </c>
      <c r="L59">
        <f>+'Company establishment'!B58</f>
        <v>1255</v>
      </c>
      <c r="M59" s="32">
        <v>438.03237182790167</v>
      </c>
      <c r="O59" s="25">
        <f t="shared" si="7"/>
        <v>25945.991515151516</v>
      </c>
      <c r="Q59">
        <f t="shared" si="8"/>
        <v>6085</v>
      </c>
      <c r="R59">
        <f t="shared" si="9"/>
        <v>7014</v>
      </c>
      <c r="S59" s="25">
        <f t="shared" si="18"/>
        <v>4018.0161859139507</v>
      </c>
      <c r="T59" s="25">
        <f t="shared" si="19"/>
        <v>6906.0323718279014</v>
      </c>
      <c r="U59" s="25">
        <f t="shared" si="10"/>
        <v>10103.016185913952</v>
      </c>
      <c r="V59" s="25">
        <f t="shared" si="11"/>
        <v>13920.032371827901</v>
      </c>
      <c r="W59" s="25">
        <v>739.6581818181819</v>
      </c>
      <c r="X59" s="25">
        <f t="shared" si="20"/>
        <v>14659.690553646084</v>
      </c>
      <c r="Y59" s="24">
        <f t="shared" si="21"/>
        <v>0.50387813854480001</v>
      </c>
      <c r="Z59" s="24">
        <f t="shared" si="22"/>
        <v>0.72578970479702121</v>
      </c>
      <c r="AA59" s="24">
        <f t="shared" si="12"/>
        <v>0.67621899059024804</v>
      </c>
      <c r="AB59" s="24">
        <f t="shared" si="13"/>
        <v>0.86755061305959513</v>
      </c>
      <c r="AD59" s="24">
        <f t="shared" si="17"/>
        <v>0.33169696165583124</v>
      </c>
      <c r="AE59" s="25">
        <f t="shared" si="23"/>
        <v>4617.2324438861287</v>
      </c>
      <c r="AF59" s="40">
        <f t="shared" si="15"/>
        <v>0.31496111237748836</v>
      </c>
      <c r="AG59" s="25">
        <f>+ships!G106</f>
        <v>492.32877808219172</v>
      </c>
      <c r="AI59" s="25">
        <f>+X59*0.597</f>
        <v>8751.8352605267119</v>
      </c>
      <c r="AJ59" s="25">
        <f>+'incomeVOC and total income'!Q58+'incomeVOC and total income'!M58+Population!M59</f>
        <v>2289.0323718279014</v>
      </c>
      <c r="AK59" s="25">
        <f>+X59-AI59-AJ59</f>
        <v>3618.8229212914703</v>
      </c>
      <c r="AL59" s="24">
        <f>+AI59/X59</f>
        <v>0.59699999999999998</v>
      </c>
      <c r="AM59" s="24">
        <f>+AJ59/X59</f>
        <v>0.15614465826896906</v>
      </c>
      <c r="AN59" s="24">
        <f>+AK59/X59</f>
        <v>0.24685534173103094</v>
      </c>
    </row>
    <row r="60" spans="1:40" x14ac:dyDescent="0.2">
      <c r="A60">
        <v>1757</v>
      </c>
      <c r="B60">
        <v>1509</v>
      </c>
      <c r="C60">
        <v>1019</v>
      </c>
      <c r="D60">
        <v>1412</v>
      </c>
      <c r="E60">
        <v>1392</v>
      </c>
      <c r="F60">
        <v>105</v>
      </c>
      <c r="H60">
        <v>4707</v>
      </c>
      <c r="I60">
        <v>1318</v>
      </c>
      <c r="J60">
        <v>537</v>
      </c>
      <c r="K60">
        <v>415</v>
      </c>
      <c r="L60">
        <f>+'Company establishment'!B59</f>
        <v>1465</v>
      </c>
      <c r="M60" s="32">
        <v>517.36230305949391</v>
      </c>
      <c r="O60" s="25">
        <f t="shared" si="7"/>
        <v>26756.238060606061</v>
      </c>
      <c r="Q60">
        <f t="shared" si="8"/>
        <v>6025</v>
      </c>
      <c r="R60">
        <f t="shared" si="9"/>
        <v>6977</v>
      </c>
      <c r="S60" s="25">
        <f t="shared" si="18"/>
        <v>4356.6811515297468</v>
      </c>
      <c r="T60" s="25">
        <f t="shared" si="19"/>
        <v>7419.3623030594936</v>
      </c>
      <c r="U60" s="25">
        <f t="shared" si="10"/>
        <v>10381.681151529747</v>
      </c>
      <c r="V60" s="25">
        <f t="shared" si="11"/>
        <v>14396.362303059494</v>
      </c>
      <c r="W60" s="25">
        <v>745.90472727272743</v>
      </c>
      <c r="X60" s="25">
        <f t="shared" si="20"/>
        <v>15142.267030332221</v>
      </c>
      <c r="Y60" s="24">
        <f t="shared" si="21"/>
        <v>0.48463631666988949</v>
      </c>
      <c r="Z60" s="24">
        <f t="shared" si="22"/>
        <v>0.72113225084113419</v>
      </c>
      <c r="AA60" s="24">
        <f t="shared" si="12"/>
        <v>0.6746452630070231</v>
      </c>
      <c r="AB60" s="24">
        <f t="shared" si="13"/>
        <v>0.8635516697721084</v>
      </c>
      <c r="AD60" s="24">
        <f t="shared" si="17"/>
        <v>0.33169696165583124</v>
      </c>
      <c r="AE60" s="25">
        <f t="shared" si="23"/>
        <v>4775.2296348213795</v>
      </c>
      <c r="AF60" s="40">
        <f t="shared" si="15"/>
        <v>0.31535764263408389</v>
      </c>
      <c r="AG60" s="25">
        <f>+ships!G107</f>
        <v>421.46770958904114</v>
      </c>
      <c r="AI60" s="25">
        <f>+X60*0.597</f>
        <v>9039.9334171083356</v>
      </c>
      <c r="AJ60" s="25">
        <f>+'incomeVOC and total income'!Q59+'incomeVOC and total income'!M59+Population!M60</f>
        <v>2597.362303059494</v>
      </c>
      <c r="AK60" s="25">
        <f>+X60-AI60-AJ60</f>
        <v>3504.9713101643915</v>
      </c>
      <c r="AL60" s="24">
        <f>+AI60/X60</f>
        <v>0.59699999999999998</v>
      </c>
      <c r="AM60" s="24">
        <f>+AJ60/X60</f>
        <v>0.17153061016930884</v>
      </c>
      <c r="AN60" s="24">
        <f>+AK60/X60</f>
        <v>0.23146938983069118</v>
      </c>
    </row>
    <row r="61" spans="1:40" x14ac:dyDescent="0.2">
      <c r="A61">
        <v>1758</v>
      </c>
      <c r="B61">
        <v>1563</v>
      </c>
      <c r="C61">
        <v>1064</v>
      </c>
      <c r="D61">
        <v>1481</v>
      </c>
      <c r="E61">
        <v>1467</v>
      </c>
      <c r="F61">
        <v>101</v>
      </c>
      <c r="H61">
        <v>4931</v>
      </c>
      <c r="I61">
        <v>1356</v>
      </c>
      <c r="J61">
        <v>512</v>
      </c>
      <c r="K61">
        <v>428</v>
      </c>
      <c r="L61">
        <f>+'Company establishment'!B60</f>
        <v>1458</v>
      </c>
      <c r="M61" s="32">
        <v>520.96596987542591</v>
      </c>
      <c r="O61" s="25">
        <f t="shared" si="7"/>
        <v>27755.810666666672</v>
      </c>
      <c r="Q61">
        <f t="shared" si="8"/>
        <v>6287</v>
      </c>
      <c r="R61">
        <f t="shared" si="9"/>
        <v>7227</v>
      </c>
      <c r="S61" s="25">
        <f t="shared" si="18"/>
        <v>4446.4829849377129</v>
      </c>
      <c r="T61" s="25">
        <f t="shared" si="19"/>
        <v>7654.9659698754258</v>
      </c>
      <c r="U61" s="25">
        <f t="shared" si="10"/>
        <v>10733.482984937713</v>
      </c>
      <c r="V61" s="25">
        <f t="shared" si="11"/>
        <v>14881.965969875426</v>
      </c>
      <c r="W61" s="25">
        <v>783.14399999999989</v>
      </c>
      <c r="X61" s="25">
        <f t="shared" si="20"/>
        <v>15665.109969875426</v>
      </c>
      <c r="Y61" s="24">
        <f t="shared" si="21"/>
        <v>0.48562132278955183</v>
      </c>
      <c r="Z61" s="24">
        <f t="shared" si="22"/>
        <v>0.72124093057763927</v>
      </c>
      <c r="AA61" s="24">
        <f t="shared" si="12"/>
        <v>0.68230247682302481</v>
      </c>
      <c r="AB61" s="24">
        <f t="shared" si="13"/>
        <v>0.86993219869932203</v>
      </c>
      <c r="AD61" s="24">
        <f t="shared" si="17"/>
        <v>0.33169696165583124</v>
      </c>
      <c r="AE61" s="25">
        <f t="shared" si="23"/>
        <v>4936.3028956731541</v>
      </c>
      <c r="AF61" s="40">
        <f t="shared" si="15"/>
        <v>0.31511447447007035</v>
      </c>
      <c r="AG61" s="25">
        <f>+ships!G108</f>
        <v>560.82193424657532</v>
      </c>
      <c r="AI61" s="25">
        <f>+X61*0.597</f>
        <v>9352.0706520156291</v>
      </c>
      <c r="AJ61" s="25">
        <f>+'incomeVOC and total income'!Q60+'incomeVOC and total income'!M60+Population!M61</f>
        <v>2555.9659698754258</v>
      </c>
      <c r="AK61" s="25">
        <f>+X61-AI61-AJ61</f>
        <v>3757.0733479843711</v>
      </c>
      <c r="AL61" s="24">
        <f>+AI61/X61</f>
        <v>0.59699999999999998</v>
      </c>
      <c r="AM61" s="24">
        <f>+AJ61/X61</f>
        <v>0.16316297649940797</v>
      </c>
      <c r="AN61" s="24">
        <f>+AK61/X61</f>
        <v>0.23983702350059202</v>
      </c>
    </row>
    <row r="62" spans="1:40" x14ac:dyDescent="0.2">
      <c r="A62">
        <v>1759</v>
      </c>
      <c r="B62">
        <v>1650</v>
      </c>
      <c r="C62">
        <v>1118</v>
      </c>
      <c r="D62">
        <v>1552</v>
      </c>
      <c r="E62">
        <v>1441</v>
      </c>
      <c r="F62">
        <v>109</v>
      </c>
      <c r="H62">
        <v>5119</v>
      </c>
      <c r="I62">
        <v>1384</v>
      </c>
      <c r="J62">
        <v>537</v>
      </c>
      <c r="K62">
        <v>440</v>
      </c>
      <c r="L62">
        <f>+'Company establishment'!B61</f>
        <v>1375</v>
      </c>
      <c r="M62" s="32">
        <v>497.10622869680344</v>
      </c>
      <c r="O62" s="25">
        <f t="shared" si="7"/>
        <v>28338.106666666674</v>
      </c>
      <c r="Q62">
        <f t="shared" si="8"/>
        <v>6503</v>
      </c>
      <c r="R62">
        <f t="shared" si="9"/>
        <v>7480</v>
      </c>
      <c r="S62" s="25">
        <f t="shared" si="18"/>
        <v>4500.5531143484013</v>
      </c>
      <c r="T62" s="25">
        <f t="shared" si="19"/>
        <v>7742.1062286968026</v>
      </c>
      <c r="U62" s="25">
        <f t="shared" si="10"/>
        <v>11003.5531143484</v>
      </c>
      <c r="V62" s="25">
        <f t="shared" si="11"/>
        <v>15222.106228696803</v>
      </c>
      <c r="W62" s="25">
        <v>821.43999999999983</v>
      </c>
      <c r="X62" s="25">
        <f t="shared" si="20"/>
        <v>16043.546228696803</v>
      </c>
      <c r="Y62" s="24">
        <f t="shared" si="21"/>
        <v>0.49139060571648491</v>
      </c>
      <c r="Z62" s="24">
        <f t="shared" si="22"/>
        <v>0.72286666175042447</v>
      </c>
      <c r="AA62" s="24">
        <f t="shared" si="12"/>
        <v>0.68435828877005345</v>
      </c>
      <c r="AB62" s="24">
        <f t="shared" si="13"/>
        <v>0.86938502673796791</v>
      </c>
      <c r="AD62" s="24">
        <f>6000/17838</f>
        <v>0.33636057854019508</v>
      </c>
      <c r="AE62" s="25">
        <f t="shared" si="23"/>
        <v>5120.1164576847632</v>
      </c>
      <c r="AF62" s="40">
        <f t="shared" si="15"/>
        <v>0.31913869818422708</v>
      </c>
      <c r="AG62" s="25">
        <f>+ships!G109</f>
        <v>561.66492054794514</v>
      </c>
      <c r="AI62" s="25">
        <f>+X62*0.597</f>
        <v>9577.9970985319906</v>
      </c>
      <c r="AJ62" s="25">
        <f>+'incomeVOC and total income'!Q61+'incomeVOC and total income'!M61+Population!M62</f>
        <v>2481.1062286968036</v>
      </c>
      <c r="AK62" s="25">
        <f>+X62-AI62-AJ62</f>
        <v>3984.442901468009</v>
      </c>
      <c r="AL62" s="24">
        <f>+AI62/X62</f>
        <v>0.59699999999999998</v>
      </c>
      <c r="AM62" s="24">
        <f>+AJ62/X62</f>
        <v>0.15464824255992066</v>
      </c>
      <c r="AN62" s="24">
        <f>+AK62/X62</f>
        <v>0.2483517574400794</v>
      </c>
    </row>
    <row r="63" spans="1:40" x14ac:dyDescent="0.2">
      <c r="A63">
        <v>1760</v>
      </c>
      <c r="B63">
        <v>1756</v>
      </c>
      <c r="C63">
        <v>1166</v>
      </c>
      <c r="D63">
        <v>1599</v>
      </c>
      <c r="E63">
        <v>1634</v>
      </c>
      <c r="F63">
        <v>128</v>
      </c>
      <c r="H63">
        <v>5269</v>
      </c>
      <c r="I63">
        <v>1436</v>
      </c>
      <c r="J63">
        <v>552</v>
      </c>
      <c r="K63">
        <v>471</v>
      </c>
      <c r="L63">
        <f>+'Company establishment'!B62</f>
        <v>1354</v>
      </c>
      <c r="M63" s="32">
        <v>495.2903267582592</v>
      </c>
      <c r="O63" s="25">
        <f t="shared" si="7"/>
        <v>29219.582303030307</v>
      </c>
      <c r="Q63">
        <f t="shared" si="8"/>
        <v>6705</v>
      </c>
      <c r="R63">
        <f t="shared" si="9"/>
        <v>7728</v>
      </c>
      <c r="S63" s="25">
        <f t="shared" si="18"/>
        <v>4651.6451633791294</v>
      </c>
      <c r="T63" s="25">
        <f t="shared" si="19"/>
        <v>8132.2903267582587</v>
      </c>
      <c r="U63" s="25">
        <f t="shared" si="10"/>
        <v>11356.645163379129</v>
      </c>
      <c r="V63" s="25">
        <f t="shared" si="11"/>
        <v>15860.290326758259</v>
      </c>
      <c r="W63" s="25">
        <v>859.91563636363617</v>
      </c>
      <c r="X63" s="25">
        <f t="shared" si="20"/>
        <v>16720.205963121894</v>
      </c>
      <c r="Y63" s="24">
        <f t="shared" si="21"/>
        <v>0.48725463662931279</v>
      </c>
      <c r="Z63" s="24">
        <f t="shared" si="22"/>
        <v>0.71604270346924692</v>
      </c>
      <c r="AA63" s="24">
        <f t="shared" si="12"/>
        <v>0.68180641821946175</v>
      </c>
      <c r="AB63" s="24">
        <f t="shared" si="13"/>
        <v>0.86762422360248448</v>
      </c>
      <c r="AD63" s="24">
        <f t="shared" si="17"/>
        <v>0.33636057854019508</v>
      </c>
      <c r="AE63" s="25">
        <f t="shared" si="23"/>
        <v>5334.7764301238676</v>
      </c>
      <c r="AF63" s="40">
        <f t="shared" si="15"/>
        <v>0.3190616456454099</v>
      </c>
      <c r="AG63" s="25">
        <f>+ships!G110</f>
        <v>530.30136986301375</v>
      </c>
      <c r="AI63" s="25">
        <f>+X63*0.597</f>
        <v>9981.9629599837699</v>
      </c>
      <c r="AJ63" s="25">
        <f>+'incomeVOC and total income'!Q62+'incomeVOC and total income'!M62+Population!M63</f>
        <v>2429.2903267582592</v>
      </c>
      <c r="AK63" s="25">
        <f>+X63-AI63-AJ63</f>
        <v>4308.9526763798658</v>
      </c>
      <c r="AL63" s="24">
        <f>+AI63/X63</f>
        <v>0.59699999999999998</v>
      </c>
      <c r="AM63" s="24">
        <f>+AJ63/X63</f>
        <v>0.14529069391347837</v>
      </c>
      <c r="AN63" s="24">
        <f>+AK63/X63</f>
        <v>0.25770930608652171</v>
      </c>
    </row>
    <row r="64" spans="1:40" x14ac:dyDescent="0.2">
      <c r="A64">
        <v>1761</v>
      </c>
      <c r="B64">
        <v>1782</v>
      </c>
      <c r="C64">
        <v>1198</v>
      </c>
      <c r="D64">
        <v>1681</v>
      </c>
      <c r="E64">
        <v>1696</v>
      </c>
      <c r="F64">
        <v>114</v>
      </c>
      <c r="H64">
        <v>5470</v>
      </c>
      <c r="I64">
        <v>1476</v>
      </c>
      <c r="J64">
        <v>531</v>
      </c>
      <c r="K64">
        <v>434</v>
      </c>
      <c r="L64">
        <f>+'Company establishment'!B63</f>
        <v>1386</v>
      </c>
      <c r="M64" s="32">
        <v>512.97840998745437</v>
      </c>
      <c r="O64" s="25">
        <f t="shared" si="7"/>
        <v>30216.11878787879</v>
      </c>
      <c r="Q64">
        <f t="shared" si="8"/>
        <v>6946</v>
      </c>
      <c r="R64">
        <f t="shared" si="9"/>
        <v>7911</v>
      </c>
      <c r="S64" s="25">
        <f t="shared" si="18"/>
        <v>4736.4892049937271</v>
      </c>
      <c r="T64" s="25">
        <f t="shared" si="19"/>
        <v>8369.9784099874541</v>
      </c>
      <c r="U64" s="25">
        <f t="shared" si="10"/>
        <v>11682.489204993726</v>
      </c>
      <c r="V64" s="25">
        <f t="shared" si="11"/>
        <v>16280.978409987454</v>
      </c>
      <c r="W64" s="25">
        <v>891.78545454545474</v>
      </c>
      <c r="X64" s="25">
        <f t="shared" si="20"/>
        <v>17172.76386453291</v>
      </c>
      <c r="Y64" s="24">
        <f t="shared" si="21"/>
        <v>0.48590445861331355</v>
      </c>
      <c r="Z64" s="24">
        <f t="shared" si="22"/>
        <v>0.71755449278325822</v>
      </c>
      <c r="AA64" s="24">
        <f t="shared" si="12"/>
        <v>0.69144229553785863</v>
      </c>
      <c r="AB64" s="24">
        <f t="shared" si="13"/>
        <v>0.87801794969030467</v>
      </c>
      <c r="AD64" s="24">
        <f t="shared" si="17"/>
        <v>0.33636057854019508</v>
      </c>
      <c r="AE64" s="25">
        <f t="shared" si="23"/>
        <v>5476.2793171838057</v>
      </c>
      <c r="AF64" s="40">
        <f t="shared" si="15"/>
        <v>0.31889329873649652</v>
      </c>
      <c r="AG64" s="25">
        <f>+ships!G111</f>
        <v>453.17451506849318</v>
      </c>
      <c r="AI64" s="25">
        <f>+X64*0.597</f>
        <v>10252.140027126146</v>
      </c>
      <c r="AJ64" s="25">
        <f>+'incomeVOC and total income'!Q63+'incomeVOC and total income'!M63+Population!M64</f>
        <v>2511.9784099874541</v>
      </c>
      <c r="AK64" s="25">
        <f>+X64-AI64-AJ64</f>
        <v>4408.6454274193093</v>
      </c>
      <c r="AL64" s="24">
        <f>+AI64/X64</f>
        <v>0.59699999999999998</v>
      </c>
      <c r="AM64" s="24">
        <f>+AJ64/X64</f>
        <v>0.14627688529366376</v>
      </c>
      <c r="AN64" s="24">
        <f>+AK64/X64</f>
        <v>0.2567231147063363</v>
      </c>
    </row>
    <row r="65" spans="1:40" x14ac:dyDescent="0.2">
      <c r="A65">
        <v>1762</v>
      </c>
      <c r="B65">
        <v>1822</v>
      </c>
      <c r="C65">
        <v>1228</v>
      </c>
      <c r="D65">
        <v>1733</v>
      </c>
      <c r="E65">
        <v>1720</v>
      </c>
      <c r="F65">
        <v>121</v>
      </c>
      <c r="H65">
        <v>5666</v>
      </c>
      <c r="I65">
        <v>1509</v>
      </c>
      <c r="J65">
        <v>587</v>
      </c>
      <c r="K65">
        <v>492</v>
      </c>
      <c r="L65">
        <f>+'Company establishment'!B64</f>
        <v>1296</v>
      </c>
      <c r="M65" s="32">
        <v>485.32820748340339</v>
      </c>
      <c r="O65" s="25">
        <f t="shared" si="7"/>
        <v>30773.123393939401</v>
      </c>
      <c r="Q65">
        <f t="shared" si="8"/>
        <v>7175</v>
      </c>
      <c r="R65">
        <f t="shared" si="9"/>
        <v>8254</v>
      </c>
      <c r="S65" s="25">
        <f t="shared" si="18"/>
        <v>4709.6641037417021</v>
      </c>
      <c r="T65" s="25">
        <f t="shared" si="19"/>
        <v>8405.3282074834042</v>
      </c>
      <c r="U65" s="25">
        <f t="shared" si="10"/>
        <v>11884.664103741703</v>
      </c>
      <c r="V65" s="25">
        <f t="shared" si="11"/>
        <v>16659.328207483406</v>
      </c>
      <c r="W65" s="25">
        <v>942.45672727272745</v>
      </c>
      <c r="X65" s="25">
        <f t="shared" si="20"/>
        <v>17601.784934756135</v>
      </c>
      <c r="Y65" s="24">
        <f t="shared" si="21"/>
        <v>0.49545815396639376</v>
      </c>
      <c r="Z65" s="24">
        <f t="shared" si="22"/>
        <v>0.71339395897147195</v>
      </c>
      <c r="AA65" s="24">
        <f t="shared" si="12"/>
        <v>0.68645505209595348</v>
      </c>
      <c r="AB65" s="24">
        <f t="shared" si="13"/>
        <v>0.86927550278652777</v>
      </c>
      <c r="AD65" s="24">
        <f t="shared" si="17"/>
        <v>0.33636057854019508</v>
      </c>
      <c r="AE65" s="25">
        <f t="shared" si="23"/>
        <v>5603.5412739601097</v>
      </c>
      <c r="AF65" s="40">
        <f t="shared" si="15"/>
        <v>0.31835074083284975</v>
      </c>
      <c r="AG65" s="25">
        <f>+ships!G112</f>
        <v>464.58082191780824</v>
      </c>
      <c r="AI65" s="25">
        <f>+X65*0.597</f>
        <v>10508.265606049412</v>
      </c>
      <c r="AJ65" s="25">
        <f>+'incomeVOC and total income'!Q64+'incomeVOC and total income'!M64+Population!M65</f>
        <v>2371.3282074834033</v>
      </c>
      <c r="AK65" s="25">
        <f>+X65-AI65-AJ65</f>
        <v>4722.1911212233199</v>
      </c>
      <c r="AL65" s="24">
        <f>+AI65/X65</f>
        <v>0.59699999999999998</v>
      </c>
      <c r="AM65" s="24">
        <f>+AJ65/X65</f>
        <v>0.13472089428845513</v>
      </c>
      <c r="AN65" s="24">
        <f>+AK65/X65</f>
        <v>0.2682791057115449</v>
      </c>
    </row>
    <row r="66" spans="1:40" x14ac:dyDescent="0.2">
      <c r="A66">
        <v>1763</v>
      </c>
      <c r="B66">
        <v>1862</v>
      </c>
      <c r="C66">
        <v>1278</v>
      </c>
      <c r="D66">
        <v>1831</v>
      </c>
      <c r="E66">
        <v>1779</v>
      </c>
      <c r="F66">
        <v>127</v>
      </c>
      <c r="H66">
        <v>5972</v>
      </c>
      <c r="I66">
        <v>1625</v>
      </c>
      <c r="J66">
        <v>651</v>
      </c>
      <c r="K66">
        <v>501</v>
      </c>
      <c r="L66">
        <f>+'Company establishment'!B65</f>
        <v>1340</v>
      </c>
      <c r="M66" s="32">
        <v>507.72670342938903</v>
      </c>
      <c r="O66" s="25">
        <f t="shared" si="7"/>
        <v>32262.035878787879</v>
      </c>
      <c r="Q66">
        <f t="shared" si="8"/>
        <v>7597</v>
      </c>
      <c r="R66">
        <f t="shared" si="9"/>
        <v>8749</v>
      </c>
      <c r="S66" s="25">
        <f t="shared" si="18"/>
        <v>4860.8633517146945</v>
      </c>
      <c r="T66" s="25">
        <f t="shared" si="19"/>
        <v>8724.7267034293891</v>
      </c>
      <c r="U66" s="25">
        <f t="shared" si="10"/>
        <v>12457.863351714695</v>
      </c>
      <c r="V66" s="25">
        <f t="shared" si="11"/>
        <v>17473.726703429391</v>
      </c>
      <c r="W66" s="25">
        <v>1011.7025454545454</v>
      </c>
      <c r="X66" s="25">
        <f t="shared" si="20"/>
        <v>18485.429248883935</v>
      </c>
      <c r="Y66" s="24">
        <f t="shared" si="21"/>
        <v>0.50069456553208669</v>
      </c>
      <c r="Z66" s="24">
        <f t="shared" si="22"/>
        <v>0.71294827732825405</v>
      </c>
      <c r="AA66" s="24">
        <f t="shared" si="12"/>
        <v>0.68259229626243001</v>
      </c>
      <c r="AB66" s="24">
        <f t="shared" si="13"/>
        <v>0.86832780889244487</v>
      </c>
      <c r="AD66" s="24">
        <f t="shared" si="17"/>
        <v>0.33636057854019508</v>
      </c>
      <c r="AE66" s="25">
        <f t="shared" si="23"/>
        <v>5877.4728232187654</v>
      </c>
      <c r="AF66" s="40">
        <f t="shared" si="15"/>
        <v>0.31795165500815298</v>
      </c>
      <c r="AG66" s="25">
        <f>+ships!G113</f>
        <v>494.19520547945206</v>
      </c>
      <c r="AI66" s="25">
        <f>+X66*0.597</f>
        <v>11035.801261583709</v>
      </c>
      <c r="AJ66" s="25">
        <f>+'incomeVOC and total income'!Q65+'incomeVOC and total income'!M65+Population!M66</f>
        <v>2491.7267034293891</v>
      </c>
      <c r="AK66" s="25">
        <f>+X66-AI66-AJ66</f>
        <v>4957.9012838708368</v>
      </c>
      <c r="AL66" s="24">
        <f>+AI66/X66</f>
        <v>0.59699999999999998</v>
      </c>
      <c r="AM66" s="24">
        <f>+AJ66/X66</f>
        <v>0.13479409484525917</v>
      </c>
      <c r="AN66" s="24">
        <f>+AK66/X66</f>
        <v>0.26820590515474085</v>
      </c>
    </row>
    <row r="67" spans="1:40" x14ac:dyDescent="0.2">
      <c r="A67">
        <v>1764</v>
      </c>
      <c r="B67">
        <v>1977</v>
      </c>
      <c r="C67">
        <v>1329</v>
      </c>
      <c r="D67">
        <v>1859</v>
      </c>
      <c r="E67">
        <v>1849</v>
      </c>
      <c r="F67">
        <v>111</v>
      </c>
      <c r="H67">
        <v>6139</v>
      </c>
      <c r="I67">
        <v>1627</v>
      </c>
      <c r="J67">
        <v>626</v>
      </c>
      <c r="K67">
        <v>605</v>
      </c>
      <c r="L67">
        <f>+'Company establishment'!B66</f>
        <v>1616</v>
      </c>
      <c r="M67" s="32">
        <v>619.52842664496052</v>
      </c>
      <c r="O67" s="25">
        <f t="shared" si="7"/>
        <v>34028.466909090916</v>
      </c>
      <c r="Q67">
        <f t="shared" si="8"/>
        <v>7766</v>
      </c>
      <c r="R67">
        <f t="shared" si="9"/>
        <v>8997</v>
      </c>
      <c r="S67" s="25">
        <f t="shared" si="18"/>
        <v>5342.7642133224799</v>
      </c>
      <c r="T67" s="25">
        <f t="shared" si="19"/>
        <v>9360.5284266449598</v>
      </c>
      <c r="U67" s="25">
        <f t="shared" si="10"/>
        <v>13108.76421332248</v>
      </c>
      <c r="V67" s="25">
        <f t="shared" si="11"/>
        <v>18357.52842664496</v>
      </c>
      <c r="W67" s="25">
        <v>1053.4669090909092</v>
      </c>
      <c r="X67" s="25">
        <f t="shared" si="20"/>
        <v>19410.995335735868</v>
      </c>
      <c r="Y67" s="24">
        <f t="shared" si="21"/>
        <v>0.49009865548901133</v>
      </c>
      <c r="Z67" s="24">
        <f t="shared" si="22"/>
        <v>0.71408110659906798</v>
      </c>
      <c r="AA67" s="24">
        <f t="shared" si="12"/>
        <v>0.68233855729687676</v>
      </c>
      <c r="AB67" s="24">
        <f t="shared" si="13"/>
        <v>0.8631766144270312</v>
      </c>
      <c r="AD67" s="24">
        <f>6400/19221</f>
        <v>0.33296914832735031</v>
      </c>
      <c r="AE67" s="25">
        <f t="shared" si="23"/>
        <v>6112.4906056150958</v>
      </c>
      <c r="AF67" s="40">
        <f t="shared" si="15"/>
        <v>0.31489836043399227</v>
      </c>
      <c r="AG67" s="25">
        <f>+ships!G114</f>
        <v>651.99296438356168</v>
      </c>
      <c r="AI67" s="25">
        <f>+X67*0.597</f>
        <v>11588.364215434312</v>
      </c>
      <c r="AJ67" s="25">
        <f>+'incomeVOC and total income'!Q66+'incomeVOC and total income'!M66+Population!M67</f>
        <v>2803.5284266449607</v>
      </c>
      <c r="AK67" s="25">
        <f>+X67-AI67-AJ67</f>
        <v>5019.102693656595</v>
      </c>
      <c r="AL67" s="24">
        <f>+AI67/X67</f>
        <v>0.59699999999999998</v>
      </c>
      <c r="AM67" s="24">
        <f>+AJ67/X67</f>
        <v>0.14442991604266847</v>
      </c>
      <c r="AN67" s="24">
        <f>+AK67/X67</f>
        <v>0.25857008395733155</v>
      </c>
    </row>
    <row r="68" spans="1:40" x14ac:dyDescent="0.2">
      <c r="A68">
        <v>1765</v>
      </c>
      <c r="B68">
        <v>2002</v>
      </c>
      <c r="C68">
        <v>1345</v>
      </c>
      <c r="D68">
        <v>1923</v>
      </c>
      <c r="E68">
        <v>1871</v>
      </c>
      <c r="F68">
        <v>129</v>
      </c>
      <c r="H68">
        <v>6289</v>
      </c>
      <c r="I68">
        <v>1681</v>
      </c>
      <c r="J68">
        <v>664</v>
      </c>
      <c r="K68">
        <v>546</v>
      </c>
      <c r="L68">
        <f>+'Company establishment'!B67</f>
        <v>1489</v>
      </c>
      <c r="M68" s="32">
        <v>577.57615447783633</v>
      </c>
      <c r="O68" s="25">
        <f t="shared" si="7"/>
        <v>34284.91393939394</v>
      </c>
      <c r="Q68">
        <f t="shared" si="8"/>
        <v>7970</v>
      </c>
      <c r="R68">
        <f t="shared" si="9"/>
        <v>9180</v>
      </c>
      <c r="S68" s="25">
        <f t="shared" ref="S68:S83" si="24">B68+C68+L68+F68+0.5*M68</f>
        <v>5253.788077238918</v>
      </c>
      <c r="T68" s="25">
        <f t="shared" ref="T68:T98" si="25">+D68+E68+S68+M68*0.5</f>
        <v>9336.5761544778361</v>
      </c>
      <c r="U68" s="25">
        <f t="shared" si="10"/>
        <v>13223.788077238918</v>
      </c>
      <c r="V68" s="25">
        <f t="shared" si="11"/>
        <v>18516.576154477836</v>
      </c>
      <c r="W68" s="25">
        <v>1088.2472727272725</v>
      </c>
      <c r="X68" s="25">
        <f t="shared" ref="X68:X98" si="26">+V68+W68</f>
        <v>19604.823427205109</v>
      </c>
      <c r="Y68" s="24">
        <f t="shared" ref="Y68:Y98" si="27">+R68/V68</f>
        <v>0.49577200036411778</v>
      </c>
      <c r="Z68" s="24">
        <f t="shared" ref="Z68:Z98" si="28">+U68/V68</f>
        <v>0.71415946268452168</v>
      </c>
      <c r="AA68" s="24">
        <f t="shared" si="12"/>
        <v>0.68507625272331152</v>
      </c>
      <c r="AB68" s="24">
        <f t="shared" si="13"/>
        <v>0.86819172113289755</v>
      </c>
      <c r="AD68" s="24">
        <f t="shared" si="17"/>
        <v>0.33296914832735031</v>
      </c>
      <c r="AE68" s="25">
        <f t="shared" ref="AE68:AE98" si="29">+AD68*V68</f>
        <v>6165.4485920950083</v>
      </c>
      <c r="AF68" s="40">
        <f t="shared" si="15"/>
        <v>0.31448631072796984</v>
      </c>
      <c r="AG68" s="25">
        <f>+ships!G115</f>
        <v>403.73024657534239</v>
      </c>
      <c r="AI68" s="25">
        <f>+X68*0.597</f>
        <v>11704.079586041449</v>
      </c>
      <c r="AJ68" s="25">
        <f>+'incomeVOC and total income'!Q67+'incomeVOC and total income'!M67+Population!M68</f>
        <v>2684.5761544778361</v>
      </c>
      <c r="AK68" s="25">
        <f>+X68-AI68-AJ68</f>
        <v>5216.1676866858234</v>
      </c>
      <c r="AL68" s="24">
        <f>+AI68/X68</f>
        <v>0.59699999999999998</v>
      </c>
      <c r="AM68" s="24">
        <f>+AJ68/X68</f>
        <v>0.13693447250091112</v>
      </c>
      <c r="AN68" s="24">
        <f>+AK68/X68</f>
        <v>0.26606552749908891</v>
      </c>
    </row>
    <row r="69" spans="1:40" x14ac:dyDescent="0.2">
      <c r="A69">
        <v>1766</v>
      </c>
      <c r="B69">
        <v>2065</v>
      </c>
      <c r="C69">
        <v>1393</v>
      </c>
      <c r="D69">
        <v>3034</v>
      </c>
      <c r="E69">
        <v>1966</v>
      </c>
      <c r="F69">
        <v>117</v>
      </c>
      <c r="H69">
        <v>6272</v>
      </c>
      <c r="I69">
        <v>1841</v>
      </c>
      <c r="J69">
        <v>635</v>
      </c>
      <c r="K69">
        <v>577</v>
      </c>
      <c r="L69">
        <f>+'Company establishment'!B68</f>
        <v>1689</v>
      </c>
      <c r="M69" s="32">
        <v>662.88605318135649</v>
      </c>
      <c r="O69" s="25">
        <f t="shared" ref="O69:O98" si="30">+X69+(L69/0.3)-(M69+L69)+(H69/0.3)-R69</f>
        <v>36459.553030303032</v>
      </c>
      <c r="Q69">
        <f t="shared" ref="Q69:Q98" si="31">+H69+I69</f>
        <v>8113</v>
      </c>
      <c r="R69">
        <f t="shared" ref="R69:R98" si="32">+Q69+J69+K69</f>
        <v>9325</v>
      </c>
      <c r="S69" s="25">
        <f t="shared" si="24"/>
        <v>5595.4430265906785</v>
      </c>
      <c r="T69" s="25">
        <f t="shared" si="25"/>
        <v>10926.886053181355</v>
      </c>
      <c r="U69" s="25">
        <f t="shared" ref="U69:U98" si="33">Q69+S69</f>
        <v>13708.443026590678</v>
      </c>
      <c r="V69" s="25">
        <f t="shared" ref="V69:V98" si="34">+T69+R69</f>
        <v>20251.886053181355</v>
      </c>
      <c r="W69" s="25">
        <v>1347.8863636363637</v>
      </c>
      <c r="X69" s="25">
        <f t="shared" si="26"/>
        <v>21599.772416817719</v>
      </c>
      <c r="Y69" s="24">
        <f t="shared" si="27"/>
        <v>0.46045094148330656</v>
      </c>
      <c r="Z69" s="24">
        <f t="shared" si="28"/>
        <v>0.67689710432857331</v>
      </c>
      <c r="AA69" s="24">
        <f t="shared" ref="AA69:AA98" si="35">+H69/R69</f>
        <v>0.67260053619302951</v>
      </c>
      <c r="AB69" s="24">
        <f t="shared" ref="AB69:AB98" si="36">+(H69+I69)/R69</f>
        <v>0.8700268096514745</v>
      </c>
      <c r="AD69" s="24">
        <f t="shared" si="17"/>
        <v>0.33296914832735031</v>
      </c>
      <c r="AE69" s="25">
        <f t="shared" si="29"/>
        <v>6743.2532511503396</v>
      </c>
      <c r="AF69" s="40">
        <f t="shared" ref="AF69:AF98" si="37">+AE69/X69</f>
        <v>0.31219093984064389</v>
      </c>
      <c r="AG69" s="25">
        <f>+ships!G116</f>
        <v>454.57191780821915</v>
      </c>
      <c r="AI69" s="25">
        <f>+X69*0.597</f>
        <v>12895.064132840178</v>
      </c>
      <c r="AJ69" s="25">
        <f>+'incomeVOC and total income'!Q68+'incomeVOC and total income'!M68+Population!M69</f>
        <v>2970.8860531813566</v>
      </c>
      <c r="AK69" s="25">
        <f>+X69-AI69-AJ69</f>
        <v>5733.8222307961842</v>
      </c>
      <c r="AL69" s="24">
        <f>+AI69/X69</f>
        <v>0.59699999999999998</v>
      </c>
      <c r="AM69" s="24">
        <f>+AJ69/X69</f>
        <v>0.13754247016363033</v>
      </c>
      <c r="AN69" s="24">
        <f>+AK69/X69</f>
        <v>0.26545752983636967</v>
      </c>
    </row>
    <row r="70" spans="1:40" x14ac:dyDescent="0.2">
      <c r="A70">
        <v>1767</v>
      </c>
      <c r="B70">
        <v>2100</v>
      </c>
      <c r="C70">
        <v>1422</v>
      </c>
      <c r="D70">
        <v>2070</v>
      </c>
      <c r="E70">
        <v>2018</v>
      </c>
      <c r="F70">
        <v>107</v>
      </c>
      <c r="H70">
        <v>6374</v>
      </c>
      <c r="I70">
        <v>1759</v>
      </c>
      <c r="J70">
        <v>656</v>
      </c>
      <c r="K70">
        <v>576</v>
      </c>
      <c r="L70">
        <f>+'Company establishment'!B69</f>
        <v>1554</v>
      </c>
      <c r="M70" s="32">
        <v>617.09911236129369</v>
      </c>
      <c r="O70" s="25">
        <f t="shared" si="30"/>
        <v>35727.203030303033</v>
      </c>
      <c r="Q70">
        <f t="shared" si="31"/>
        <v>8133</v>
      </c>
      <c r="R70">
        <f t="shared" si="32"/>
        <v>9365</v>
      </c>
      <c r="S70" s="25">
        <f t="shared" si="24"/>
        <v>5491.5495561806465</v>
      </c>
      <c r="T70" s="25">
        <f t="shared" si="25"/>
        <v>9888.099112361293</v>
      </c>
      <c r="U70" s="25">
        <f t="shared" si="33"/>
        <v>13624.549556180646</v>
      </c>
      <c r="V70" s="25">
        <f t="shared" si="34"/>
        <v>19253.099112361291</v>
      </c>
      <c r="W70" s="25">
        <v>1583.5363636363641</v>
      </c>
      <c r="X70" s="25">
        <f t="shared" si="26"/>
        <v>20836.635475997657</v>
      </c>
      <c r="Y70" s="24">
        <f t="shared" si="27"/>
        <v>0.48641519712466863</v>
      </c>
      <c r="Z70" s="24">
        <f t="shared" si="28"/>
        <v>0.70765488073725846</v>
      </c>
      <c r="AA70" s="24">
        <f t="shared" si="35"/>
        <v>0.68061932728243457</v>
      </c>
      <c r="AB70" s="24">
        <f t="shared" si="36"/>
        <v>0.86844634276561661</v>
      </c>
      <c r="AD70" s="24">
        <f t="shared" si="17"/>
        <v>0.33296914832735031</v>
      </c>
      <c r="AE70" s="25">
        <f t="shared" si="29"/>
        <v>6410.6880141050033</v>
      </c>
      <c r="AF70" s="40">
        <f t="shared" si="37"/>
        <v>0.30766425901579297</v>
      </c>
      <c r="AG70" s="25">
        <f>+ships!G117</f>
        <v>490.14527397260275</v>
      </c>
      <c r="AI70" s="25">
        <f>+X70*0.597</f>
        <v>12439.4713791706</v>
      </c>
      <c r="AJ70" s="25">
        <f>+'incomeVOC and total income'!Q69+'incomeVOC and total income'!M69+Population!M70</f>
        <v>2721.0991123612939</v>
      </c>
      <c r="AK70" s="25">
        <f>+X70-AI70-AJ70</f>
        <v>5676.0649844657628</v>
      </c>
      <c r="AL70" s="24">
        <f>+AI70/X70</f>
        <v>0.59699999999999998</v>
      </c>
      <c r="AM70" s="24">
        <f>+AJ70/X70</f>
        <v>0.13059205818020905</v>
      </c>
      <c r="AN70" s="24">
        <f>+AK70/X70</f>
        <v>0.272407941819791</v>
      </c>
    </row>
    <row r="71" spans="1:40" x14ac:dyDescent="0.2">
      <c r="A71">
        <v>1768</v>
      </c>
      <c r="B71">
        <v>2114</v>
      </c>
      <c r="C71">
        <v>1454</v>
      </c>
      <c r="D71">
        <v>2084</v>
      </c>
      <c r="E71">
        <v>2066</v>
      </c>
      <c r="F71">
        <v>100</v>
      </c>
      <c r="H71">
        <v>6354</v>
      </c>
      <c r="I71">
        <v>1832</v>
      </c>
      <c r="J71">
        <v>650</v>
      </c>
      <c r="K71">
        <v>459</v>
      </c>
      <c r="L71">
        <f>+'Company establishment'!B70</f>
        <v>1579</v>
      </c>
      <c r="M71" s="32">
        <v>634.42561936925415</v>
      </c>
      <c r="O71" s="25">
        <f t="shared" si="30"/>
        <v>36061.183333333334</v>
      </c>
      <c r="Q71">
        <f t="shared" si="31"/>
        <v>8186</v>
      </c>
      <c r="R71">
        <f t="shared" si="32"/>
        <v>9295</v>
      </c>
      <c r="S71" s="25">
        <f t="shared" si="24"/>
        <v>5564.2128096846272</v>
      </c>
      <c r="T71" s="25">
        <f t="shared" si="25"/>
        <v>10031.425619369254</v>
      </c>
      <c r="U71" s="25">
        <f t="shared" si="33"/>
        <v>13750.212809684628</v>
      </c>
      <c r="V71" s="25">
        <f t="shared" si="34"/>
        <v>19326.425619369256</v>
      </c>
      <c r="W71" s="25">
        <v>1799.8500000000001</v>
      </c>
      <c r="X71" s="25">
        <f t="shared" si="26"/>
        <v>21126.275619369255</v>
      </c>
      <c r="Y71" s="24">
        <f t="shared" si="27"/>
        <v>0.48094770254280234</v>
      </c>
      <c r="Z71" s="24">
        <f t="shared" si="28"/>
        <v>0.71147210976787878</v>
      </c>
      <c r="AA71" s="24">
        <f t="shared" si="35"/>
        <v>0.6835933297471759</v>
      </c>
      <c r="AB71" s="24">
        <f t="shared" si="36"/>
        <v>0.88068854222700377</v>
      </c>
      <c r="AD71" s="24">
        <f t="shared" si="17"/>
        <v>0.33296914832735031</v>
      </c>
      <c r="AE71" s="25">
        <f t="shared" si="29"/>
        <v>6435.1034786932651</v>
      </c>
      <c r="AF71" s="40">
        <f t="shared" si="37"/>
        <v>0.30460188982829295</v>
      </c>
      <c r="AG71" s="25">
        <f>+ships!G118</f>
        <v>496.24109589041097</v>
      </c>
      <c r="AI71" s="25">
        <f>+X71*0.597</f>
        <v>12612.386544763445</v>
      </c>
      <c r="AJ71" s="25">
        <f>+'incomeVOC and total income'!Q70+'incomeVOC and total income'!M70+Population!M71</f>
        <v>2763.425619369254</v>
      </c>
      <c r="AK71" s="25">
        <f>+X71-AI71-AJ71</f>
        <v>5750.4634552365551</v>
      </c>
      <c r="AL71" s="24">
        <f>+AI71/X71</f>
        <v>0.59699999999999998</v>
      </c>
      <c r="AM71" s="24">
        <f>+AJ71/X71</f>
        <v>0.13080514848701755</v>
      </c>
      <c r="AN71" s="24">
        <f>+AK71/X71</f>
        <v>0.27219485151298245</v>
      </c>
    </row>
    <row r="72" spans="1:40" x14ac:dyDescent="0.2">
      <c r="A72">
        <v>1769</v>
      </c>
      <c r="B72">
        <v>2147</v>
      </c>
      <c r="C72">
        <v>1468</v>
      </c>
      <c r="D72">
        <v>2184</v>
      </c>
      <c r="E72">
        <v>2132</v>
      </c>
      <c r="F72">
        <v>78</v>
      </c>
      <c r="H72">
        <v>6398</v>
      </c>
      <c r="I72">
        <v>1859</v>
      </c>
      <c r="J72">
        <v>613</v>
      </c>
      <c r="K72">
        <v>511</v>
      </c>
      <c r="L72">
        <f>+'Company establishment'!B71</f>
        <v>1695</v>
      </c>
      <c r="M72" s="32">
        <v>689.06939306136178</v>
      </c>
      <c r="O72" s="25">
        <f t="shared" si="30"/>
        <v>37032.430303030313</v>
      </c>
      <c r="Q72">
        <f t="shared" si="31"/>
        <v>8257</v>
      </c>
      <c r="R72">
        <f t="shared" si="32"/>
        <v>9381</v>
      </c>
      <c r="S72" s="25">
        <f t="shared" si="24"/>
        <v>5732.5346965306808</v>
      </c>
      <c r="T72" s="25">
        <f t="shared" si="25"/>
        <v>10393.069393061363</v>
      </c>
      <c r="U72" s="25">
        <f t="shared" si="33"/>
        <v>13989.534696530682</v>
      </c>
      <c r="V72" s="25">
        <f t="shared" si="34"/>
        <v>19774.069393061363</v>
      </c>
      <c r="W72" s="25">
        <v>2046.7636363636368</v>
      </c>
      <c r="X72" s="25">
        <f t="shared" si="26"/>
        <v>21820.833029425001</v>
      </c>
      <c r="Y72" s="24">
        <f t="shared" si="27"/>
        <v>0.47440917767243967</v>
      </c>
      <c r="Z72" s="24">
        <f t="shared" si="28"/>
        <v>0.70746867619669374</v>
      </c>
      <c r="AA72" s="24">
        <f t="shared" si="35"/>
        <v>0.68201684255409867</v>
      </c>
      <c r="AB72" s="24">
        <f t="shared" si="36"/>
        <v>0.88018334932309983</v>
      </c>
      <c r="AD72" s="24">
        <f>7400/22165</f>
        <v>0.33385968869839838</v>
      </c>
      <c r="AE72" s="25">
        <f t="shared" si="29"/>
        <v>6601.764651867994</v>
      </c>
      <c r="AF72" s="40">
        <f t="shared" si="37"/>
        <v>0.30254411657729258</v>
      </c>
      <c r="AG72" s="25">
        <f>+ships!G119</f>
        <v>632.05479452054794</v>
      </c>
      <c r="AI72" s="25">
        <f>+X72*0.597</f>
        <v>13027.037318566725</v>
      </c>
      <c r="AJ72" s="25">
        <f>+'incomeVOC and total income'!Q71+'incomeVOC and total income'!M71+Population!M72</f>
        <v>2915.0693930613616</v>
      </c>
      <c r="AK72" s="25">
        <f>+X72-AI72-AJ72</f>
        <v>5878.7263177969144</v>
      </c>
      <c r="AL72" s="24">
        <f>+AI72/X72</f>
        <v>0.59699999999999998</v>
      </c>
      <c r="AM72" s="24">
        <f>+AJ72/X72</f>
        <v>0.13359111401157064</v>
      </c>
      <c r="AN72" s="24">
        <f>+AK72/X72</f>
        <v>0.26940888598842938</v>
      </c>
    </row>
    <row r="73" spans="1:40" x14ac:dyDescent="0.2">
      <c r="A73">
        <v>1770</v>
      </c>
      <c r="B73">
        <v>2136</v>
      </c>
      <c r="C73">
        <v>1517</v>
      </c>
      <c r="D73">
        <v>2256</v>
      </c>
      <c r="E73">
        <v>2179</v>
      </c>
      <c r="F73">
        <v>89</v>
      </c>
      <c r="H73">
        <v>6393</v>
      </c>
      <c r="I73">
        <v>1934</v>
      </c>
      <c r="J73">
        <v>641</v>
      </c>
      <c r="K73">
        <v>634</v>
      </c>
      <c r="L73">
        <f>+'Company establishment'!B72</f>
        <v>1704</v>
      </c>
      <c r="M73" s="32">
        <v>700.90236098921764</v>
      </c>
      <c r="O73" s="25">
        <f t="shared" si="30"/>
        <v>37497.667272727274</v>
      </c>
      <c r="Q73">
        <f t="shared" si="31"/>
        <v>8327</v>
      </c>
      <c r="R73">
        <f t="shared" si="32"/>
        <v>9602</v>
      </c>
      <c r="S73" s="25">
        <f t="shared" si="24"/>
        <v>5796.4511804946087</v>
      </c>
      <c r="T73" s="25">
        <f t="shared" si="25"/>
        <v>10581.902360989217</v>
      </c>
      <c r="U73" s="25">
        <f t="shared" si="33"/>
        <v>14123.451180494609</v>
      </c>
      <c r="V73" s="25">
        <f t="shared" si="34"/>
        <v>20183.902360989217</v>
      </c>
      <c r="W73" s="25">
        <v>2330.667272727273</v>
      </c>
      <c r="X73" s="25">
        <f t="shared" si="26"/>
        <v>22514.569633716492</v>
      </c>
      <c r="Y73" s="24">
        <f t="shared" si="27"/>
        <v>0.47572564652108257</v>
      </c>
      <c r="Z73" s="24">
        <f t="shared" si="28"/>
        <v>0.69973838199851535</v>
      </c>
      <c r="AA73" s="24">
        <f t="shared" si="35"/>
        <v>0.66579879191835034</v>
      </c>
      <c r="AB73" s="24">
        <f t="shared" si="36"/>
        <v>0.86721516350760264</v>
      </c>
      <c r="AD73" s="24">
        <f t="shared" si="17"/>
        <v>0.33385968869839838</v>
      </c>
      <c r="AE73" s="25">
        <f t="shared" si="29"/>
        <v>6738.5913589587281</v>
      </c>
      <c r="AF73" s="40">
        <f t="shared" si="37"/>
        <v>0.29929914133767899</v>
      </c>
      <c r="AG73" s="25">
        <f>+ships!G120</f>
        <v>514.0508602739726</v>
      </c>
      <c r="AI73" s="25">
        <f>+X73*0.597</f>
        <v>13441.198071328745</v>
      </c>
      <c r="AJ73" s="25">
        <f>+'incomeVOC and total income'!Q72+'incomeVOC and total income'!M72+Population!M73</f>
        <v>3022.9023609892174</v>
      </c>
      <c r="AK73" s="25">
        <f>+X73-AI73-AJ73</f>
        <v>6050.4692013985295</v>
      </c>
      <c r="AL73" s="24">
        <f>+AI73/X73</f>
        <v>0.59699999999999998</v>
      </c>
      <c r="AM73" s="24">
        <f>+AJ73/X73</f>
        <v>0.1342642746527252</v>
      </c>
      <c r="AN73" s="24">
        <f>+AK73/X73</f>
        <v>0.26873572534727486</v>
      </c>
    </row>
    <row r="74" spans="1:40" x14ac:dyDescent="0.2">
      <c r="A74">
        <v>1771</v>
      </c>
      <c r="B74">
        <v>2218</v>
      </c>
      <c r="C74">
        <v>1538</v>
      </c>
      <c r="D74">
        <v>2333</v>
      </c>
      <c r="E74">
        <v>2212</v>
      </c>
      <c r="F74">
        <v>77</v>
      </c>
      <c r="H74">
        <v>6790</v>
      </c>
      <c r="I74">
        <v>2004</v>
      </c>
      <c r="J74">
        <v>667</v>
      </c>
      <c r="K74">
        <v>622</v>
      </c>
      <c r="L74">
        <f>+'Company establishment'!B73</f>
        <v>1800</v>
      </c>
      <c r="M74" s="32">
        <v>749.12641779812373</v>
      </c>
      <c r="O74" s="25">
        <f t="shared" si="30"/>
        <v>39706.244242424247</v>
      </c>
      <c r="Q74">
        <f t="shared" si="31"/>
        <v>8794</v>
      </c>
      <c r="R74">
        <f t="shared" si="32"/>
        <v>10083</v>
      </c>
      <c r="S74" s="25">
        <f t="shared" si="24"/>
        <v>6007.5632088990615</v>
      </c>
      <c r="T74" s="25">
        <f t="shared" si="25"/>
        <v>10927.126417798123</v>
      </c>
      <c r="U74" s="25">
        <f t="shared" si="33"/>
        <v>14801.563208899061</v>
      </c>
      <c r="V74" s="25">
        <f t="shared" si="34"/>
        <v>21010.126417798121</v>
      </c>
      <c r="W74" s="25">
        <v>2694.9109090909096</v>
      </c>
      <c r="X74" s="25">
        <f t="shared" si="26"/>
        <v>23705.037326889033</v>
      </c>
      <c r="Y74" s="24">
        <f t="shared" si="27"/>
        <v>0.47991143886970988</v>
      </c>
      <c r="Z74" s="24">
        <f t="shared" si="28"/>
        <v>0.70449662770045707</v>
      </c>
      <c r="AA74" s="24">
        <f t="shared" si="35"/>
        <v>0.67341069126252107</v>
      </c>
      <c r="AB74" s="24">
        <f t="shared" si="36"/>
        <v>0.87216106317564213</v>
      </c>
      <c r="AD74" s="24">
        <f t="shared" si="17"/>
        <v>0.33385968869839838</v>
      </c>
      <c r="AE74" s="25">
        <f t="shared" si="29"/>
        <v>7014.434265360077</v>
      </c>
      <c r="AF74" s="40">
        <f t="shared" si="37"/>
        <v>0.29590479730666713</v>
      </c>
      <c r="AG74" s="25">
        <f>+ships!G121</f>
        <v>964.5256821917809</v>
      </c>
      <c r="AI74" s="25">
        <f>+X74*0.597</f>
        <v>14151.907284152752</v>
      </c>
      <c r="AJ74" s="25">
        <f>+'incomeVOC and total income'!Q73+'incomeVOC and total income'!M73+Population!M74</f>
        <v>3161.1264177981238</v>
      </c>
      <c r="AK74" s="25">
        <f>+X74-AI74-AJ74</f>
        <v>6392.0036249381565</v>
      </c>
      <c r="AL74" s="24">
        <f>+AI74/X74</f>
        <v>0.59699999999999998</v>
      </c>
      <c r="AM74" s="24">
        <f>+AJ74/X74</f>
        <v>0.13335251804106646</v>
      </c>
      <c r="AN74" s="24">
        <f>+AK74/X74</f>
        <v>0.26964748195893351</v>
      </c>
    </row>
    <row r="75" spans="1:40" x14ac:dyDescent="0.2">
      <c r="A75">
        <v>1772</v>
      </c>
      <c r="B75">
        <v>2283</v>
      </c>
      <c r="C75">
        <v>1576</v>
      </c>
      <c r="D75">
        <v>2263</v>
      </c>
      <c r="E75">
        <v>2251</v>
      </c>
      <c r="F75">
        <v>87</v>
      </c>
      <c r="H75">
        <v>6985</v>
      </c>
      <c r="I75">
        <v>2061</v>
      </c>
      <c r="J75">
        <v>689</v>
      </c>
      <c r="K75">
        <v>640</v>
      </c>
      <c r="L75">
        <f>+'Company establishment'!B74</f>
        <v>1963</v>
      </c>
      <c r="M75" s="32">
        <v>826.60415166874554</v>
      </c>
      <c r="O75" s="25">
        <f t="shared" si="30"/>
        <v>41314.280303030304</v>
      </c>
      <c r="Q75">
        <f t="shared" si="31"/>
        <v>9046</v>
      </c>
      <c r="R75">
        <f t="shared" si="32"/>
        <v>10375</v>
      </c>
      <c r="S75" s="25">
        <f t="shared" si="24"/>
        <v>6322.3020758343728</v>
      </c>
      <c r="T75" s="25">
        <f t="shared" si="25"/>
        <v>11249.604151668747</v>
      </c>
      <c r="U75" s="25">
        <f t="shared" si="33"/>
        <v>15368.302075834374</v>
      </c>
      <c r="V75" s="25">
        <f t="shared" si="34"/>
        <v>21624.604151668747</v>
      </c>
      <c r="W75" s="25">
        <v>3027.6136363636369</v>
      </c>
      <c r="X75" s="25">
        <f t="shared" si="26"/>
        <v>24652.217788032383</v>
      </c>
      <c r="Y75" s="24">
        <f t="shared" si="27"/>
        <v>0.47977756851560088</v>
      </c>
      <c r="Z75" s="24">
        <f t="shared" si="28"/>
        <v>0.71068593755730869</v>
      </c>
      <c r="AA75" s="24">
        <f t="shared" si="35"/>
        <v>0.67325301204819277</v>
      </c>
      <c r="AB75" s="24">
        <f t="shared" si="36"/>
        <v>0.87190361445783138</v>
      </c>
      <c r="AD75" s="24">
        <f t="shared" si="17"/>
        <v>0.33385968869839838</v>
      </c>
      <c r="AE75" s="25">
        <f t="shared" si="29"/>
        <v>7219.5836103022211</v>
      </c>
      <c r="AF75" s="40">
        <f t="shared" si="37"/>
        <v>0.29285736773780352</v>
      </c>
      <c r="AG75" s="25">
        <f>+ships!G122</f>
        <v>1090.9588493150684</v>
      </c>
      <c r="AI75" s="25">
        <f>+X75*0.597</f>
        <v>14717.374019455332</v>
      </c>
      <c r="AJ75" s="25">
        <f>+'incomeVOC and total income'!Q74+'incomeVOC and total income'!M74+Population!M75</f>
        <v>3352.6041516687455</v>
      </c>
      <c r="AK75" s="25">
        <f>+X75-AI75-AJ75</f>
        <v>6582.2396169083058</v>
      </c>
      <c r="AL75" s="24">
        <f>+AI75/X75</f>
        <v>0.59699999999999998</v>
      </c>
      <c r="AM75" s="24">
        <f>+AJ75/X75</f>
        <v>0.13599604629877537</v>
      </c>
      <c r="AN75" s="24">
        <f>+AK75/X75</f>
        <v>0.26700395370122465</v>
      </c>
    </row>
    <row r="76" spans="1:40" x14ac:dyDescent="0.2">
      <c r="A76">
        <v>1773</v>
      </c>
      <c r="B76">
        <v>2300</v>
      </c>
      <c r="C76">
        <v>1578</v>
      </c>
      <c r="D76">
        <v>2318</v>
      </c>
      <c r="E76">
        <v>2269</v>
      </c>
      <c r="F76">
        <v>90</v>
      </c>
      <c r="H76">
        <v>6980</v>
      </c>
      <c r="I76">
        <v>2128</v>
      </c>
      <c r="J76">
        <v>712</v>
      </c>
      <c r="K76">
        <v>661</v>
      </c>
      <c r="L76">
        <f>+'Company establishment'!B75</f>
        <v>2165</v>
      </c>
      <c r="M76" s="32">
        <v>922.42243740474566</v>
      </c>
      <c r="O76" s="25">
        <f t="shared" si="30"/>
        <v>42354.14060606061</v>
      </c>
      <c r="Q76">
        <f t="shared" si="31"/>
        <v>9108</v>
      </c>
      <c r="R76">
        <f t="shared" si="32"/>
        <v>10481</v>
      </c>
      <c r="S76" s="25">
        <f t="shared" si="24"/>
        <v>6594.2112187023731</v>
      </c>
      <c r="T76" s="25">
        <f t="shared" si="25"/>
        <v>11642.422437404746</v>
      </c>
      <c r="U76" s="25">
        <f t="shared" si="33"/>
        <v>15702.211218702374</v>
      </c>
      <c r="V76" s="25">
        <f t="shared" si="34"/>
        <v>22123.422437404748</v>
      </c>
      <c r="W76" s="25">
        <v>3315.8072727272738</v>
      </c>
      <c r="X76" s="25">
        <f t="shared" si="26"/>
        <v>25439.229710132022</v>
      </c>
      <c r="Y76" s="24">
        <f t="shared" si="27"/>
        <v>0.47375129366419599</v>
      </c>
      <c r="Z76" s="24">
        <f t="shared" si="28"/>
        <v>0.70975506900569618</v>
      </c>
      <c r="AA76" s="24">
        <f t="shared" si="35"/>
        <v>0.66596698788283559</v>
      </c>
      <c r="AB76" s="24">
        <f t="shared" si="36"/>
        <v>0.86900104951817569</v>
      </c>
      <c r="AD76" s="24">
        <f t="shared" si="17"/>
        <v>0.33385968869839838</v>
      </c>
      <c r="AE76" s="25">
        <f t="shared" si="29"/>
        <v>7386.1189278951115</v>
      </c>
      <c r="AF76" s="40">
        <f t="shared" si="37"/>
        <v>0.2903436547433409</v>
      </c>
      <c r="AG76" s="25">
        <f>+ships!G123</f>
        <v>978.58452876712329</v>
      </c>
      <c r="AI76" s="25">
        <f>+X76*0.597</f>
        <v>15187.220136948816</v>
      </c>
      <c r="AJ76" s="25">
        <f>+'incomeVOC and total income'!Q75+'incomeVOC and total income'!M75+Population!M76</f>
        <v>3686.4224374047458</v>
      </c>
      <c r="AK76" s="25">
        <f>+X76-AI76-AJ76</f>
        <v>6565.5871357784599</v>
      </c>
      <c r="AL76" s="24">
        <f>+AI76/X76</f>
        <v>0.59699999999999998</v>
      </c>
      <c r="AM76" s="24">
        <f>+AJ76/X76</f>
        <v>0.14491093006391248</v>
      </c>
      <c r="AN76" s="24">
        <f>+AK76/X76</f>
        <v>0.25808906993608755</v>
      </c>
    </row>
    <row r="77" spans="1:40" x14ac:dyDescent="0.2">
      <c r="A77">
        <v>1774</v>
      </c>
      <c r="B77">
        <v>2324</v>
      </c>
      <c r="C77">
        <v>1658</v>
      </c>
      <c r="D77">
        <v>2412</v>
      </c>
      <c r="E77">
        <v>2275</v>
      </c>
      <c r="F77">
        <v>95</v>
      </c>
      <c r="H77">
        <v>7402</v>
      </c>
      <c r="I77">
        <v>2191</v>
      </c>
      <c r="J77">
        <v>780</v>
      </c>
      <c r="K77">
        <v>717</v>
      </c>
      <c r="L77">
        <f>+'Company establishment'!B76</f>
        <v>2151</v>
      </c>
      <c r="M77" s="32">
        <v>927.2717804523453</v>
      </c>
      <c r="O77" s="25">
        <f t="shared" si="30"/>
        <v>44388.015151515152</v>
      </c>
      <c r="Q77">
        <f t="shared" si="31"/>
        <v>9593</v>
      </c>
      <c r="R77">
        <f t="shared" si="32"/>
        <v>11090</v>
      </c>
      <c r="S77" s="25">
        <f t="shared" si="24"/>
        <v>6691.6358902261727</v>
      </c>
      <c r="T77" s="25">
        <f t="shared" si="25"/>
        <v>11842.271780452345</v>
      </c>
      <c r="U77" s="25">
        <f t="shared" si="33"/>
        <v>16284.635890226173</v>
      </c>
      <c r="V77" s="25">
        <f t="shared" si="34"/>
        <v>22932.271780452345</v>
      </c>
      <c r="W77" s="25">
        <v>3780.6818181818189</v>
      </c>
      <c r="X77" s="25">
        <f t="shared" si="26"/>
        <v>26712.953598634165</v>
      </c>
      <c r="Y77" s="24">
        <f t="shared" si="27"/>
        <v>0.48359796648900727</v>
      </c>
      <c r="Z77" s="24">
        <f t="shared" si="28"/>
        <v>0.71011873773915979</v>
      </c>
      <c r="AA77" s="24">
        <f t="shared" si="35"/>
        <v>0.66744815148782688</v>
      </c>
      <c r="AB77" s="24">
        <f t="shared" si="36"/>
        <v>0.86501352569882772</v>
      </c>
      <c r="AD77" s="24">
        <f>8300/25002</f>
        <v>0.33197344212463004</v>
      </c>
      <c r="AE77" s="25">
        <f t="shared" si="29"/>
        <v>7612.9051986942832</v>
      </c>
      <c r="AF77" s="40">
        <f t="shared" si="37"/>
        <v>0.28498927198688845</v>
      </c>
      <c r="AG77" s="25">
        <f>+ships!G124</f>
        <v>942.71627123287669</v>
      </c>
      <c r="AI77" s="25">
        <f>+X77*0.597</f>
        <v>15947.633298384597</v>
      </c>
      <c r="AJ77" s="25">
        <f>+'incomeVOC and total income'!Q76+'incomeVOC and total income'!M76+Population!M77</f>
        <v>3747.2717804523454</v>
      </c>
      <c r="AK77" s="25">
        <f>+X77-AI77-AJ77</f>
        <v>7018.048519797223</v>
      </c>
      <c r="AL77" s="24">
        <f>+AI77/X77</f>
        <v>0.59699999999999998</v>
      </c>
      <c r="AM77" s="24">
        <f>+AJ77/X77</f>
        <v>0.14027920074865641</v>
      </c>
      <c r="AN77" s="24">
        <f>+AK77/X77</f>
        <v>0.26272079925134362</v>
      </c>
    </row>
    <row r="78" spans="1:40" x14ac:dyDescent="0.2">
      <c r="A78">
        <v>1775</v>
      </c>
      <c r="B78">
        <v>2461</v>
      </c>
      <c r="C78">
        <v>1682</v>
      </c>
      <c r="D78">
        <v>2429</v>
      </c>
      <c r="E78">
        <v>2405</v>
      </c>
      <c r="F78">
        <v>91</v>
      </c>
      <c r="H78">
        <v>7553</v>
      </c>
      <c r="I78">
        <v>2289</v>
      </c>
      <c r="J78">
        <v>800</v>
      </c>
      <c r="K78">
        <v>746</v>
      </c>
      <c r="L78">
        <f>+'Company establishment'!B77</f>
        <v>2019</v>
      </c>
      <c r="M78" s="32">
        <v>880.63841612512226</v>
      </c>
      <c r="O78" s="25">
        <f t="shared" si="30"/>
        <v>45136.463030303035</v>
      </c>
      <c r="Q78">
        <f t="shared" si="31"/>
        <v>9842</v>
      </c>
      <c r="R78">
        <f t="shared" si="32"/>
        <v>11388</v>
      </c>
      <c r="S78" s="25">
        <f t="shared" si="24"/>
        <v>6693.3192080625613</v>
      </c>
      <c r="T78" s="25">
        <f t="shared" si="25"/>
        <v>11967.638416125123</v>
      </c>
      <c r="U78" s="25">
        <f t="shared" si="33"/>
        <v>16535.319208062559</v>
      </c>
      <c r="V78" s="25">
        <f t="shared" si="34"/>
        <v>23355.638416125123</v>
      </c>
      <c r="W78" s="25">
        <v>4161.7963636363638</v>
      </c>
      <c r="X78" s="25">
        <f t="shared" si="26"/>
        <v>27517.434779761486</v>
      </c>
      <c r="Y78" s="24">
        <f t="shared" si="27"/>
        <v>0.4875910389217849</v>
      </c>
      <c r="Z78" s="24">
        <f t="shared" si="28"/>
        <v>0.70797975689871528</v>
      </c>
      <c r="AA78" s="24">
        <f t="shared" si="35"/>
        <v>0.66324200913242004</v>
      </c>
      <c r="AB78" s="24">
        <f t="shared" si="36"/>
        <v>0.86424306287319985</v>
      </c>
      <c r="AD78" s="24">
        <f t="shared" si="17"/>
        <v>0.33197344212463004</v>
      </c>
      <c r="AE78" s="25">
        <f t="shared" si="29"/>
        <v>7753.4516780192989</v>
      </c>
      <c r="AF78" s="40">
        <f t="shared" si="37"/>
        <v>0.28176506059066975</v>
      </c>
      <c r="AG78" s="25">
        <f>+ships!G125</f>
        <v>882.15127671232881</v>
      </c>
      <c r="AI78" s="25">
        <f>+X78*0.597</f>
        <v>16427.908563517605</v>
      </c>
      <c r="AJ78" s="25">
        <f>+'incomeVOC and total income'!Q77+'incomeVOC and total income'!M77+Population!M78</f>
        <v>3553.6384161251221</v>
      </c>
      <c r="AK78" s="25">
        <f>+X78-AI78-AJ78</f>
        <v>7535.8878001187586</v>
      </c>
      <c r="AL78" s="24">
        <f>+AI78/X78</f>
        <v>0.59699999999999998</v>
      </c>
      <c r="AM78" s="24">
        <f>+AJ78/X78</f>
        <v>0.12914134055616081</v>
      </c>
      <c r="AN78" s="24">
        <f>+AK78/X78</f>
        <v>0.27385865944383925</v>
      </c>
    </row>
    <row r="79" spans="1:40" x14ac:dyDescent="0.2">
      <c r="A79">
        <v>1776</v>
      </c>
      <c r="B79">
        <v>2552</v>
      </c>
      <c r="C79">
        <v>1712</v>
      </c>
      <c r="D79">
        <v>2503</v>
      </c>
      <c r="E79">
        <v>2450</v>
      </c>
      <c r="F79">
        <v>98</v>
      </c>
      <c r="H79">
        <v>8347</v>
      </c>
      <c r="I79">
        <v>2561</v>
      </c>
      <c r="J79">
        <v>931</v>
      </c>
      <c r="K79">
        <v>898</v>
      </c>
      <c r="L79">
        <f>+'Company establishment'!B78</f>
        <v>1981</v>
      </c>
      <c r="M79" s="32">
        <v>874.25969778678802</v>
      </c>
      <c r="O79" s="25">
        <f t="shared" si="30"/>
        <v>48492.56766666667</v>
      </c>
      <c r="Q79">
        <f t="shared" si="31"/>
        <v>10908</v>
      </c>
      <c r="R79">
        <f t="shared" si="32"/>
        <v>12737</v>
      </c>
      <c r="S79" s="25">
        <f t="shared" si="24"/>
        <v>6780.1298488933944</v>
      </c>
      <c r="T79" s="25">
        <f t="shared" si="25"/>
        <v>12170.259697786787</v>
      </c>
      <c r="U79" s="25">
        <f t="shared" si="33"/>
        <v>17688.129848893394</v>
      </c>
      <c r="V79" s="25">
        <f t="shared" si="34"/>
        <v>24907.259697786787</v>
      </c>
      <c r="W79" s="25">
        <v>4750.9010000000007</v>
      </c>
      <c r="X79" s="25">
        <f t="shared" si="26"/>
        <v>29658.160697786789</v>
      </c>
      <c r="Y79" s="24">
        <f t="shared" si="27"/>
        <v>0.51137701033935046</v>
      </c>
      <c r="Z79" s="24">
        <f t="shared" si="28"/>
        <v>0.71015961063212141</v>
      </c>
      <c r="AA79" s="24">
        <f t="shared" si="35"/>
        <v>0.65533485122085267</v>
      </c>
      <c r="AB79" s="24">
        <f t="shared" si="36"/>
        <v>0.85640260657925726</v>
      </c>
      <c r="AD79" s="24">
        <f t="shared" si="17"/>
        <v>0.33197344212463004</v>
      </c>
      <c r="AE79" s="25">
        <f t="shared" si="29"/>
        <v>8268.5487357663515</v>
      </c>
      <c r="AF79" s="40">
        <f t="shared" si="37"/>
        <v>0.27879506150168593</v>
      </c>
      <c r="AG79" s="25">
        <f>+ships!G126</f>
        <v>912.95138356164387</v>
      </c>
      <c r="AI79" s="25">
        <f>+X79*0.597</f>
        <v>17705.92193657871</v>
      </c>
      <c r="AJ79" s="25">
        <f>+'incomeVOC and total income'!Q78+'incomeVOC and total income'!M78+Population!M79</f>
        <v>3565.2596977867879</v>
      </c>
      <c r="AK79" s="25">
        <f>+X79-AI79-AJ79</f>
        <v>8386.9790634212914</v>
      </c>
      <c r="AL79" s="24">
        <f>+AI79/X79</f>
        <v>0.59699999999999986</v>
      </c>
      <c r="AM79" s="24">
        <f>+AJ79/X79</f>
        <v>0.1202117600655135</v>
      </c>
      <c r="AN79" s="24">
        <f>+AK79/X79</f>
        <v>0.2827882399344866</v>
      </c>
    </row>
    <row r="80" spans="1:40" x14ac:dyDescent="0.2">
      <c r="A80">
        <v>1777</v>
      </c>
      <c r="B80">
        <v>2744</v>
      </c>
      <c r="C80">
        <v>1846</v>
      </c>
      <c r="D80">
        <v>2667</v>
      </c>
      <c r="E80">
        <v>2610</v>
      </c>
      <c r="F80">
        <v>96</v>
      </c>
      <c r="H80">
        <v>8369</v>
      </c>
      <c r="I80">
        <v>2498</v>
      </c>
      <c r="J80">
        <v>939</v>
      </c>
      <c r="K80">
        <v>886</v>
      </c>
      <c r="L80">
        <f>+'Company establishment'!B79</f>
        <v>1790</v>
      </c>
      <c r="M80" s="32">
        <v>799.28872911408541</v>
      </c>
      <c r="O80" s="25">
        <f t="shared" si="30"/>
        <v>48653.841013798548</v>
      </c>
      <c r="Q80">
        <f t="shared" si="31"/>
        <v>10867</v>
      </c>
      <c r="R80">
        <f t="shared" si="32"/>
        <v>12692</v>
      </c>
      <c r="S80" s="25">
        <f t="shared" si="24"/>
        <v>6875.6443645570425</v>
      </c>
      <c r="T80" s="25">
        <f t="shared" si="25"/>
        <v>12552.288729114087</v>
      </c>
      <c r="U80" s="25">
        <f t="shared" si="33"/>
        <v>17742.644364557043</v>
      </c>
      <c r="V80" s="25">
        <f t="shared" si="34"/>
        <v>25244.288729114087</v>
      </c>
      <c r="W80" s="25">
        <v>4827.5076804652153</v>
      </c>
      <c r="X80" s="25">
        <f t="shared" si="26"/>
        <v>30071.796409579303</v>
      </c>
      <c r="Y80" s="24">
        <f t="shared" si="27"/>
        <v>0.50276718572634582</v>
      </c>
      <c r="Z80" s="24">
        <f t="shared" si="28"/>
        <v>0.70283795891205114</v>
      </c>
      <c r="AA80" s="24">
        <f t="shared" si="35"/>
        <v>0.65939174283012925</v>
      </c>
      <c r="AB80" s="24">
        <f t="shared" si="36"/>
        <v>0.85620863536085723</v>
      </c>
      <c r="AD80" s="24">
        <f t="shared" si="17"/>
        <v>0.33197344212463004</v>
      </c>
      <c r="AE80" s="25">
        <f t="shared" si="29"/>
        <v>8380.4334233920054</v>
      </c>
      <c r="AF80" s="40">
        <f t="shared" si="37"/>
        <v>0.27868083799351734</v>
      </c>
      <c r="AG80" s="25">
        <f>+ships!G127</f>
        <v>744.1553123287672</v>
      </c>
      <c r="AI80" s="25">
        <f>+X80*0.597</f>
        <v>17952.862456518844</v>
      </c>
      <c r="AJ80" s="25">
        <f>+'incomeVOC and total income'!Q79+'incomeVOC and total income'!M79+Population!M80</f>
        <v>3270.2887291140855</v>
      </c>
      <c r="AK80" s="25">
        <f>+X80-AI80-AJ80</f>
        <v>8848.6452239463742</v>
      </c>
      <c r="AL80" s="24">
        <f>+AI80/X80</f>
        <v>0.59699999999999998</v>
      </c>
      <c r="AM80" s="24">
        <f>+AJ80/X80</f>
        <v>0.10874936384154099</v>
      </c>
      <c r="AN80" s="24">
        <f>+AK80/X80</f>
        <v>0.29425063615845903</v>
      </c>
    </row>
    <row r="81" spans="1:40" x14ac:dyDescent="0.2">
      <c r="A81">
        <v>1778</v>
      </c>
      <c r="B81">
        <v>2789</v>
      </c>
      <c r="C81">
        <v>1857</v>
      </c>
      <c r="D81">
        <v>2667</v>
      </c>
      <c r="E81">
        <v>2678</v>
      </c>
      <c r="F81">
        <v>81</v>
      </c>
      <c r="H81">
        <v>8920</v>
      </c>
      <c r="I81">
        <v>2661</v>
      </c>
      <c r="J81">
        <v>975</v>
      </c>
      <c r="K81">
        <v>882</v>
      </c>
      <c r="L81">
        <f>+'Company establishment'!B80</f>
        <v>1614</v>
      </c>
      <c r="M81" s="32">
        <v>729.20369971723881</v>
      </c>
      <c r="O81" s="25">
        <f t="shared" si="30"/>
        <v>50397.419956107573</v>
      </c>
      <c r="Q81">
        <f t="shared" si="31"/>
        <v>11581</v>
      </c>
      <c r="R81">
        <f t="shared" si="32"/>
        <v>13438</v>
      </c>
      <c r="S81" s="25">
        <f t="shared" si="24"/>
        <v>6705.6018498586191</v>
      </c>
      <c r="T81" s="25">
        <f t="shared" si="25"/>
        <v>12415.20369971724</v>
      </c>
      <c r="U81" s="25">
        <f t="shared" si="33"/>
        <v>18286.60184985862</v>
      </c>
      <c r="V81" s="25">
        <f t="shared" si="34"/>
        <v>25853.20369971724</v>
      </c>
      <c r="W81" s="25">
        <v>5212.0866227742363</v>
      </c>
      <c r="X81" s="25">
        <f t="shared" si="26"/>
        <v>31065.290322491477</v>
      </c>
      <c r="Y81" s="24">
        <f t="shared" si="27"/>
        <v>0.51978084248595358</v>
      </c>
      <c r="Z81" s="24">
        <f t="shared" si="28"/>
        <v>0.70732440212269021</v>
      </c>
      <c r="AA81" s="24">
        <f t="shared" si="35"/>
        <v>0.66378925435332636</v>
      </c>
      <c r="AB81" s="24">
        <f t="shared" si="36"/>
        <v>0.86180979312397676</v>
      </c>
      <c r="AD81" s="24">
        <f t="shared" si="17"/>
        <v>0.33197344212463004</v>
      </c>
      <c r="AE81" s="25">
        <f t="shared" si="29"/>
        <v>8582.5770221443527</v>
      </c>
      <c r="AF81" s="40">
        <f t="shared" si="37"/>
        <v>0.27627544867753934</v>
      </c>
      <c r="AG81" s="25">
        <f>+ships!G128</f>
        <v>808.76718356164383</v>
      </c>
      <c r="AI81" s="25">
        <f>+X81*0.597</f>
        <v>18545.978322527411</v>
      </c>
      <c r="AJ81" s="25">
        <f>+'incomeVOC and total income'!Q80+'incomeVOC and total income'!M80+Population!M81</f>
        <v>3073.203699717239</v>
      </c>
      <c r="AK81" s="25">
        <f>+X81-AI81-AJ81</f>
        <v>9446.1083002468258</v>
      </c>
      <c r="AL81" s="24">
        <f>+AI81/X81</f>
        <v>0.59699999999999998</v>
      </c>
      <c r="AM81" s="24">
        <f>+AJ81/X81</f>
        <v>9.8927248637113788E-2</v>
      </c>
      <c r="AN81" s="24">
        <f>+AK81/X81</f>
        <v>0.3040727513628862</v>
      </c>
    </row>
    <row r="82" spans="1:40" x14ac:dyDescent="0.2">
      <c r="A82">
        <v>1779</v>
      </c>
      <c r="B82">
        <v>2873</v>
      </c>
      <c r="C82">
        <v>1918</v>
      </c>
      <c r="D82">
        <v>2861</v>
      </c>
      <c r="E82">
        <v>2817</v>
      </c>
      <c r="F82">
        <v>68</v>
      </c>
      <c r="H82">
        <v>8830</v>
      </c>
      <c r="I82">
        <v>2654</v>
      </c>
      <c r="J82">
        <v>980</v>
      </c>
      <c r="K82">
        <v>890</v>
      </c>
      <c r="L82">
        <f>+'Company establishment'!B81</f>
        <v>1656</v>
      </c>
      <c r="M82" s="32">
        <v>757.00777595240527</v>
      </c>
      <c r="O82" s="25">
        <f t="shared" si="30"/>
        <v>50772.017626948909</v>
      </c>
      <c r="Q82">
        <f t="shared" si="31"/>
        <v>11484</v>
      </c>
      <c r="R82">
        <f t="shared" si="32"/>
        <v>13354</v>
      </c>
      <c r="S82" s="25">
        <f t="shared" si="24"/>
        <v>6893.5038879762023</v>
      </c>
      <c r="T82" s="25">
        <f t="shared" si="25"/>
        <v>12950.007775952407</v>
      </c>
      <c r="U82" s="25">
        <f t="shared" si="33"/>
        <v>18377.503887976203</v>
      </c>
      <c r="V82" s="25">
        <f t="shared" si="34"/>
        <v>26304.007775952407</v>
      </c>
      <c r="W82" s="25">
        <v>5281.6842936155717</v>
      </c>
      <c r="X82" s="25">
        <f t="shared" si="26"/>
        <v>31585.69206956798</v>
      </c>
      <c r="Y82" s="24">
        <f t="shared" si="27"/>
        <v>0.50767929030983883</v>
      </c>
      <c r="Z82" s="24">
        <f t="shared" si="28"/>
        <v>0.6986579400564672</v>
      </c>
      <c r="AA82" s="24">
        <f t="shared" si="35"/>
        <v>0.66122510109330535</v>
      </c>
      <c r="AB82" s="24">
        <f t="shared" si="36"/>
        <v>0.85996705107084015</v>
      </c>
      <c r="AD82" s="24">
        <f>9600/28862</f>
        <v>0.33261728223962306</v>
      </c>
      <c r="AE82" s="25">
        <f t="shared" si="29"/>
        <v>8749.1675784472009</v>
      </c>
      <c r="AF82" s="40">
        <f t="shared" si="37"/>
        <v>0.27699781151468905</v>
      </c>
      <c r="AG82" s="25">
        <f>+ships!G129</f>
        <v>930.74579452054797</v>
      </c>
      <c r="AI82" s="25">
        <f>+X82*0.597</f>
        <v>18856.658165532084</v>
      </c>
      <c r="AJ82" s="25">
        <f>+'incomeVOC and total income'!Q81+'incomeVOC and total income'!M81+Population!M82</f>
        <v>3157.5077759524052</v>
      </c>
      <c r="AK82" s="25">
        <f>+X82-AI82-AJ82</f>
        <v>9571.5261280834911</v>
      </c>
      <c r="AL82" s="24">
        <f>+AI82/X82</f>
        <v>0.59699999999999998</v>
      </c>
      <c r="AM82" s="24">
        <f>+AJ82/X82</f>
        <v>9.9966395195582383E-2</v>
      </c>
      <c r="AN82" s="24">
        <f>+AK82/X82</f>
        <v>0.3030336048044176</v>
      </c>
    </row>
    <row r="83" spans="1:40" x14ac:dyDescent="0.2">
      <c r="A83">
        <v>1780</v>
      </c>
      <c r="B83">
        <v>2913</v>
      </c>
      <c r="C83">
        <v>1922</v>
      </c>
      <c r="D83">
        <v>2806</v>
      </c>
      <c r="E83">
        <v>2859</v>
      </c>
      <c r="F83">
        <v>65</v>
      </c>
      <c r="H83">
        <v>9058</v>
      </c>
      <c r="I83">
        <v>2812</v>
      </c>
      <c r="J83">
        <v>975</v>
      </c>
      <c r="K83">
        <v>913</v>
      </c>
      <c r="L83">
        <f>+'Company establishment'!B82</f>
        <v>1687</v>
      </c>
      <c r="M83" s="32">
        <v>780.27872525632961</v>
      </c>
      <c r="O83" s="25">
        <f t="shared" si="30"/>
        <v>51930.484274566828</v>
      </c>
      <c r="Q83">
        <f t="shared" si="31"/>
        <v>11870</v>
      </c>
      <c r="R83">
        <f t="shared" si="32"/>
        <v>13758</v>
      </c>
      <c r="S83" s="25">
        <f t="shared" si="24"/>
        <v>6977.1393626281651</v>
      </c>
      <c r="T83" s="25">
        <f t="shared" si="25"/>
        <v>13032.278725256328</v>
      </c>
      <c r="U83" s="25">
        <f t="shared" si="33"/>
        <v>18847.139362628164</v>
      </c>
      <c r="V83" s="25">
        <f t="shared" si="34"/>
        <v>26790.278725256328</v>
      </c>
      <c r="W83" s="25">
        <v>5548.8176079001605</v>
      </c>
      <c r="X83" s="25">
        <f t="shared" si="26"/>
        <v>32339.096333156489</v>
      </c>
      <c r="Y83" s="24">
        <f t="shared" si="27"/>
        <v>0.5135444890698263</v>
      </c>
      <c r="Z83" s="24">
        <f t="shared" si="28"/>
        <v>0.70350665463066531</v>
      </c>
      <c r="AA83" s="24">
        <f t="shared" si="35"/>
        <v>0.6583805785724669</v>
      </c>
      <c r="AB83" s="24">
        <f t="shared" si="36"/>
        <v>0.86277075156272709</v>
      </c>
      <c r="AD83" s="24">
        <f t="shared" ref="AD83:AD98" si="38">+AD82</f>
        <v>0.33261728223962306</v>
      </c>
      <c r="AE83" s="25">
        <f t="shared" si="29"/>
        <v>8910.9097000367528</v>
      </c>
      <c r="AF83" s="40">
        <f t="shared" si="37"/>
        <v>0.27554603283396678</v>
      </c>
      <c r="AG83" s="25">
        <f>+ships!G130</f>
        <v>871.18904109589039</v>
      </c>
      <c r="AI83" s="25">
        <f>+X83*0.597</f>
        <v>19306.440510894423</v>
      </c>
      <c r="AJ83" s="25">
        <f>+'incomeVOC and total income'!Q82+'incomeVOC and total income'!M82+Population!M83</f>
        <v>3226.2787252563294</v>
      </c>
      <c r="AK83" s="25">
        <f>+X83-AI83-AJ83</f>
        <v>9806.3770970057376</v>
      </c>
      <c r="AL83" s="24">
        <f>+AI83/X83</f>
        <v>0.59699999999999998</v>
      </c>
      <c r="AM83" s="24">
        <f>+AJ83/X83</f>
        <v>9.9764034592039738E-2</v>
      </c>
      <c r="AN83" s="24">
        <f>+AK83/X83</f>
        <v>0.30323596540796033</v>
      </c>
    </row>
    <row r="84" spans="1:40" x14ac:dyDescent="0.2">
      <c r="A84">
        <v>1781</v>
      </c>
      <c r="B84" s="32">
        <f t="shared" ref="B84:F84" si="39">+(B83+B85)/2</f>
        <v>2993.5</v>
      </c>
      <c r="C84" s="32">
        <f t="shared" si="39"/>
        <v>1927</v>
      </c>
      <c r="D84" s="32">
        <f t="shared" si="39"/>
        <v>2716</v>
      </c>
      <c r="E84" s="32">
        <f t="shared" si="39"/>
        <v>2801.5</v>
      </c>
      <c r="F84" s="32">
        <f t="shared" si="39"/>
        <v>48</v>
      </c>
      <c r="H84">
        <v>8654</v>
      </c>
      <c r="I84">
        <v>2827</v>
      </c>
      <c r="J84">
        <v>993</v>
      </c>
      <c r="K84">
        <v>879</v>
      </c>
      <c r="L84">
        <f>+'Company establishment'!B83</f>
        <v>1794</v>
      </c>
      <c r="M84" s="32">
        <v>839.56011232990613</v>
      </c>
      <c r="O84" s="25">
        <f t="shared" si="30"/>
        <v>50975.37709181894</v>
      </c>
      <c r="Q84">
        <f t="shared" si="31"/>
        <v>11481</v>
      </c>
      <c r="R84">
        <f t="shared" si="32"/>
        <v>13353</v>
      </c>
      <c r="S84" s="32">
        <f>+(S83+S85)/2</f>
        <v>7353.2744595253153</v>
      </c>
      <c r="T84" s="25">
        <f t="shared" si="25"/>
        <v>13290.554515690268</v>
      </c>
      <c r="U84" s="25">
        <f t="shared" si="33"/>
        <v>18834.274459525317</v>
      </c>
      <c r="V84" s="25">
        <f t="shared" si="34"/>
        <v>26643.554515690266</v>
      </c>
      <c r="W84" s="25">
        <v>5491.7160217919163</v>
      </c>
      <c r="X84" s="25">
        <f t="shared" si="26"/>
        <v>32135.270537482182</v>
      </c>
      <c r="Y84" s="24">
        <f t="shared" si="27"/>
        <v>0.50117186849586759</v>
      </c>
      <c r="Z84" s="24">
        <f t="shared" si="28"/>
        <v>0.70689796470038935</v>
      </c>
      <c r="AA84" s="24">
        <f t="shared" si="35"/>
        <v>0.64809406125964197</v>
      </c>
      <c r="AB84" s="24">
        <f t="shared" si="36"/>
        <v>0.85980678499213659</v>
      </c>
      <c r="AD84" s="24">
        <f t="shared" si="38"/>
        <v>0.33261728223962306</v>
      </c>
      <c r="AE84" s="25">
        <f t="shared" si="29"/>
        <v>8862.1066922121336</v>
      </c>
      <c r="AF84" s="40">
        <f t="shared" si="37"/>
        <v>0.27577507654324807</v>
      </c>
      <c r="AG84" s="25">
        <f>+ships!G131</f>
        <v>796.90804657534261</v>
      </c>
      <c r="AI84" s="25">
        <f>+X84*0.597</f>
        <v>19184.756510876861</v>
      </c>
      <c r="AJ84" s="25">
        <f>+'incomeVOC and total income'!Q83+'incomeVOC and total income'!M83+Population!M84</f>
        <v>3428.5601123299061</v>
      </c>
      <c r="AK84" s="25">
        <f>+X84-AI84-AJ84</f>
        <v>9521.9539142754147</v>
      </c>
      <c r="AL84" s="24">
        <f>+AI84/X84</f>
        <v>0.59699999999999998</v>
      </c>
      <c r="AM84" s="24">
        <f>+AJ84/X84</f>
        <v>0.10669149675683844</v>
      </c>
      <c r="AN84" s="24">
        <f>+AK84/X84</f>
        <v>0.2963085032431616</v>
      </c>
    </row>
    <row r="85" spans="1:40" x14ac:dyDescent="0.2">
      <c r="A85">
        <v>1782</v>
      </c>
      <c r="B85">
        <v>3074</v>
      </c>
      <c r="C85">
        <v>1932</v>
      </c>
      <c r="D85">
        <v>2626</v>
      </c>
      <c r="E85">
        <v>2744</v>
      </c>
      <c r="F85">
        <v>31</v>
      </c>
      <c r="H85">
        <v>9001</v>
      </c>
      <c r="I85">
        <v>2910</v>
      </c>
      <c r="J85">
        <v>940</v>
      </c>
      <c r="K85">
        <v>918</v>
      </c>
      <c r="L85">
        <f>+'Company establishment'!B84</f>
        <v>2177</v>
      </c>
      <c r="M85" s="32">
        <v>1030.8191128449296</v>
      </c>
      <c r="O85" s="25">
        <f t="shared" si="30"/>
        <v>53441.517485571996</v>
      </c>
      <c r="Q85">
        <f t="shared" si="31"/>
        <v>11911</v>
      </c>
      <c r="R85">
        <f t="shared" si="32"/>
        <v>13769</v>
      </c>
      <c r="S85" s="25">
        <f t="shared" ref="S85:S96" si="40">B85+C85+L85+F85+0.5*M85</f>
        <v>7729.4095564224644</v>
      </c>
      <c r="T85" s="25">
        <f t="shared" si="25"/>
        <v>13614.819112844929</v>
      </c>
      <c r="U85" s="25">
        <f t="shared" si="33"/>
        <v>19640.409556422463</v>
      </c>
      <c r="V85" s="25">
        <f t="shared" si="34"/>
        <v>27383.819112844929</v>
      </c>
      <c r="W85" s="25">
        <v>5774.5174855719888</v>
      </c>
      <c r="X85" s="25">
        <f t="shared" si="26"/>
        <v>33158.336598416921</v>
      </c>
      <c r="Y85" s="24">
        <f t="shared" si="27"/>
        <v>0.50281518232573241</v>
      </c>
      <c r="Z85" s="24">
        <f t="shared" si="28"/>
        <v>0.71722682199612309</v>
      </c>
      <c r="AA85" s="24">
        <f t="shared" si="35"/>
        <v>0.65371486672960999</v>
      </c>
      <c r="AB85" s="24">
        <f t="shared" si="36"/>
        <v>0.8650591909361609</v>
      </c>
      <c r="AD85" s="24">
        <f t="shared" si="38"/>
        <v>0.33261728223962306</v>
      </c>
      <c r="AE85" s="25">
        <f t="shared" si="29"/>
        <v>9108.3314906559262</v>
      </c>
      <c r="AF85" s="40">
        <f t="shared" si="37"/>
        <v>0.27469205108107819</v>
      </c>
      <c r="AG85" s="25">
        <f>+ships!G132</f>
        <v>1008.7945205479454</v>
      </c>
      <c r="AI85" s="25">
        <f>+X85*0.597</f>
        <v>19795.526949254901</v>
      </c>
      <c r="AJ85" s="25">
        <f>+'incomeVOC and total income'!Q84+'incomeVOC and total income'!M84+Population!M85</f>
        <v>3973.8191128449298</v>
      </c>
      <c r="AK85" s="25">
        <f>+X85-AI85-AJ85</f>
        <v>9388.990536317091</v>
      </c>
      <c r="AL85" s="24">
        <f>+AI85/X85</f>
        <v>0.59699999999999998</v>
      </c>
      <c r="AM85" s="24">
        <f>+AJ85/X85</f>
        <v>0.11984374128811552</v>
      </c>
      <c r="AN85" s="24">
        <f>+AK85/X85</f>
        <v>0.28315625871188455</v>
      </c>
    </row>
    <row r="86" spans="1:40" x14ac:dyDescent="0.2">
      <c r="A86">
        <v>1783</v>
      </c>
      <c r="B86">
        <v>3158</v>
      </c>
      <c r="C86">
        <v>2042</v>
      </c>
      <c r="D86">
        <v>2821</v>
      </c>
      <c r="E86">
        <v>3019</v>
      </c>
      <c r="F86">
        <v>24</v>
      </c>
      <c r="H86">
        <v>9625</v>
      </c>
      <c r="I86">
        <v>3020</v>
      </c>
      <c r="J86">
        <v>994</v>
      </c>
      <c r="K86">
        <v>1002</v>
      </c>
      <c r="L86">
        <f>+'Company establishment'!B85</f>
        <v>1918</v>
      </c>
      <c r="M86" s="32">
        <v>918.89801053106419</v>
      </c>
      <c r="O86" s="25">
        <f t="shared" si="30"/>
        <v>55802.018667099663</v>
      </c>
      <c r="Q86">
        <f t="shared" si="31"/>
        <v>12645</v>
      </c>
      <c r="R86">
        <f t="shared" si="32"/>
        <v>14641</v>
      </c>
      <c r="S86" s="25">
        <f t="shared" si="40"/>
        <v>7601.4490052655319</v>
      </c>
      <c r="T86" s="25">
        <f t="shared" si="25"/>
        <v>13900.898010531064</v>
      </c>
      <c r="U86" s="25">
        <f t="shared" si="33"/>
        <v>20246.449005265531</v>
      </c>
      <c r="V86" s="25">
        <f t="shared" si="34"/>
        <v>28541.898010531062</v>
      </c>
      <c r="W86" s="25">
        <v>6261.3520004329885</v>
      </c>
      <c r="X86" s="25">
        <f t="shared" si="26"/>
        <v>34803.250010964053</v>
      </c>
      <c r="Y86" s="24">
        <f t="shared" si="27"/>
        <v>0.51296518523743351</v>
      </c>
      <c r="Z86" s="24">
        <f t="shared" si="28"/>
        <v>0.70935888698765681</v>
      </c>
      <c r="AA86" s="24">
        <f t="shared" si="35"/>
        <v>0.65740045078888054</v>
      </c>
      <c r="AB86" s="24">
        <f t="shared" si="36"/>
        <v>0.86367051430913189</v>
      </c>
      <c r="AD86" s="24">
        <f t="shared" si="38"/>
        <v>0.33261728223962306</v>
      </c>
      <c r="AE86" s="25">
        <f t="shared" si="29"/>
        <v>9493.528546223346</v>
      </c>
      <c r="AF86" s="40">
        <f t="shared" si="37"/>
        <v>0.27277706947577035</v>
      </c>
      <c r="AG86" s="25">
        <f>+ships!G133</f>
        <v>1950.4718876712329</v>
      </c>
      <c r="AI86" s="25">
        <f>+X86*0.597</f>
        <v>20777.540256545541</v>
      </c>
      <c r="AJ86" s="25">
        <f>+'incomeVOC and total income'!Q85+'incomeVOC and total income'!M85+Population!M86</f>
        <v>3580.8980105310643</v>
      </c>
      <c r="AK86" s="25">
        <f>+X86-AI86-AJ86</f>
        <v>10444.811743887449</v>
      </c>
      <c r="AL86" s="24">
        <f>+AI86/X86</f>
        <v>0.59699999999999998</v>
      </c>
      <c r="AM86" s="24">
        <f>+AJ86/X86</f>
        <v>0.10288975912890248</v>
      </c>
      <c r="AN86" s="24">
        <f>+AK86/X86</f>
        <v>0.3001102408710975</v>
      </c>
    </row>
    <row r="87" spans="1:40" x14ac:dyDescent="0.2">
      <c r="A87">
        <v>1784</v>
      </c>
      <c r="B87">
        <v>3180</v>
      </c>
      <c r="C87">
        <v>2124</v>
      </c>
      <c r="D87">
        <v>3005</v>
      </c>
      <c r="E87">
        <v>3073</v>
      </c>
      <c r="F87">
        <v>27</v>
      </c>
      <c r="H87">
        <v>9694</v>
      </c>
      <c r="I87">
        <v>3106</v>
      </c>
      <c r="J87">
        <v>1015</v>
      </c>
      <c r="K87">
        <v>902</v>
      </c>
      <c r="L87">
        <f>+'Company establishment'!B86</f>
        <v>1904</v>
      </c>
      <c r="M87" s="32">
        <v>922.95457634689762</v>
      </c>
      <c r="O87" s="25">
        <f t="shared" si="30"/>
        <v>56487.015284513793</v>
      </c>
      <c r="Q87">
        <f t="shared" si="31"/>
        <v>12800</v>
      </c>
      <c r="R87">
        <f t="shared" si="32"/>
        <v>14717</v>
      </c>
      <c r="S87" s="25">
        <f t="shared" si="40"/>
        <v>7696.4772881734489</v>
      </c>
      <c r="T87" s="25">
        <f t="shared" si="25"/>
        <v>14235.954576346898</v>
      </c>
      <c r="U87" s="25">
        <f t="shared" si="33"/>
        <v>20496.47728817345</v>
      </c>
      <c r="V87" s="25">
        <f t="shared" si="34"/>
        <v>28952.9545763469</v>
      </c>
      <c r="W87" s="25">
        <v>6418.0152845137991</v>
      </c>
      <c r="X87" s="25">
        <f t="shared" si="26"/>
        <v>35370.9698608607</v>
      </c>
      <c r="Y87" s="24">
        <f t="shared" si="27"/>
        <v>0.50830736328454174</v>
      </c>
      <c r="Z87" s="24">
        <f t="shared" si="28"/>
        <v>0.70792351205904336</v>
      </c>
      <c r="AA87" s="24">
        <f t="shared" si="35"/>
        <v>0.65869402731534965</v>
      </c>
      <c r="AB87" s="24">
        <f t="shared" si="36"/>
        <v>0.86974247468913501</v>
      </c>
      <c r="AD87" s="58">
        <f>10400/31342</f>
        <v>0.3318231127560462</v>
      </c>
      <c r="AE87" s="25">
        <f t="shared" si="29"/>
        <v>9607.2595110078419</v>
      </c>
      <c r="AF87" s="40">
        <f t="shared" si="37"/>
        <v>0.27161425170980774</v>
      </c>
      <c r="AG87" s="25">
        <f>+ships!G134</f>
        <v>1782.1668438356166</v>
      </c>
      <c r="AI87" s="25">
        <f>+X87*0.597</f>
        <v>21116.469006933836</v>
      </c>
      <c r="AJ87" s="25">
        <f>+'incomeVOC and total income'!Q86+'incomeVOC and total income'!M86+Population!M87</f>
        <v>3563.9545763468977</v>
      </c>
      <c r="AK87" s="25">
        <f>+X87-AI87-AJ87</f>
        <v>10690.546277579966</v>
      </c>
      <c r="AL87" s="24">
        <f>+AI87/X87</f>
        <v>0.59699999999999998</v>
      </c>
      <c r="AM87" s="24">
        <f>+AJ87/X87</f>
        <v>0.10075931167187323</v>
      </c>
      <c r="AN87" s="24">
        <f>+AK87/X87</f>
        <v>0.30224068832812684</v>
      </c>
    </row>
    <row r="88" spans="1:40" x14ac:dyDescent="0.2">
      <c r="A88">
        <v>1785</v>
      </c>
      <c r="B88">
        <v>3238</v>
      </c>
      <c r="C88">
        <v>2207</v>
      </c>
      <c r="D88">
        <v>3022</v>
      </c>
      <c r="E88">
        <v>2148</v>
      </c>
      <c r="F88">
        <v>23</v>
      </c>
      <c r="H88">
        <v>9983</v>
      </c>
      <c r="I88">
        <v>3208</v>
      </c>
      <c r="J88">
        <v>1158</v>
      </c>
      <c r="K88">
        <v>840</v>
      </c>
      <c r="L88">
        <f>+'Company establishment'!B87</f>
        <v>2155</v>
      </c>
      <c r="M88" s="32">
        <v>1056.9521659398581</v>
      </c>
      <c r="O88" s="25">
        <f t="shared" si="30"/>
        <v>57852.523506761267</v>
      </c>
      <c r="Q88">
        <f t="shared" si="31"/>
        <v>13191</v>
      </c>
      <c r="R88">
        <f t="shared" si="32"/>
        <v>15189</v>
      </c>
      <c r="S88" s="25">
        <f t="shared" si="40"/>
        <v>8151.4760829699289</v>
      </c>
      <c r="T88" s="25">
        <f t="shared" si="25"/>
        <v>13849.95216593986</v>
      </c>
      <c r="U88" s="25">
        <f t="shared" si="33"/>
        <v>21342.47608296993</v>
      </c>
      <c r="V88" s="25">
        <f t="shared" si="34"/>
        <v>29038.95216593986</v>
      </c>
      <c r="W88" s="25">
        <v>6754.5235067612703</v>
      </c>
      <c r="X88" s="25">
        <f t="shared" si="26"/>
        <v>35793.475672701126</v>
      </c>
      <c r="Y88" s="24">
        <f t="shared" si="27"/>
        <v>0.52305606322170817</v>
      </c>
      <c r="Z88" s="24">
        <f t="shared" si="28"/>
        <v>0.73496026857342256</v>
      </c>
      <c r="AA88" s="24">
        <f t="shared" si="35"/>
        <v>0.65725195865428931</v>
      </c>
      <c r="AB88" s="24">
        <f t="shared" si="36"/>
        <v>0.86845743630258743</v>
      </c>
      <c r="AD88" s="24">
        <f t="shared" si="38"/>
        <v>0.3318231127560462</v>
      </c>
      <c r="AE88" s="25">
        <f t="shared" si="29"/>
        <v>9635.7954988760939</v>
      </c>
      <c r="AF88" s="40">
        <f t="shared" si="37"/>
        <v>0.26920535985347455</v>
      </c>
      <c r="AG88" s="25">
        <f>+ships!G135</f>
        <v>2140.1891013698628</v>
      </c>
      <c r="AI88" s="25">
        <f>+X88*0.597</f>
        <v>21368.70497660257</v>
      </c>
      <c r="AJ88" s="25">
        <f>+'incomeVOC and total income'!Q87+'incomeVOC and total income'!M87+Population!M88</f>
        <v>4080.9521659398579</v>
      </c>
      <c r="AK88" s="25">
        <f>+X88-AI88-AJ88</f>
        <v>10343.818530158698</v>
      </c>
      <c r="AL88" s="24">
        <f>+AI88/X88</f>
        <v>0.59699999999999998</v>
      </c>
      <c r="AM88" s="24">
        <f>+AJ88/X88</f>
        <v>0.11401385557682256</v>
      </c>
      <c r="AN88" s="24">
        <f>+AK88/X88</f>
        <v>0.28898614442317749</v>
      </c>
    </row>
    <row r="89" spans="1:40" x14ac:dyDescent="0.2">
      <c r="A89">
        <v>1786</v>
      </c>
      <c r="B89">
        <v>3280</v>
      </c>
      <c r="C89">
        <v>2260</v>
      </c>
      <c r="D89">
        <v>3116</v>
      </c>
      <c r="E89">
        <v>3164</v>
      </c>
      <c r="F89">
        <v>29</v>
      </c>
      <c r="H89">
        <v>10538</v>
      </c>
      <c r="I89">
        <v>3687</v>
      </c>
      <c r="J89">
        <v>1294</v>
      </c>
      <c r="K89">
        <v>1055</v>
      </c>
      <c r="L89">
        <f>+'Company establishment'!B88</f>
        <v>2316</v>
      </c>
      <c r="M89" s="32">
        <v>1149.3208587792337</v>
      </c>
      <c r="O89" s="25">
        <f t="shared" si="30"/>
        <v>62211.49666210264</v>
      </c>
      <c r="Q89">
        <f t="shared" si="31"/>
        <v>14225</v>
      </c>
      <c r="R89">
        <f t="shared" si="32"/>
        <v>16574</v>
      </c>
      <c r="S89" s="25">
        <f t="shared" si="40"/>
        <v>8459.6604293896162</v>
      </c>
      <c r="T89" s="25">
        <f t="shared" si="25"/>
        <v>15314.320858779232</v>
      </c>
      <c r="U89" s="25">
        <f t="shared" si="33"/>
        <v>22684.660429389616</v>
      </c>
      <c r="V89" s="25">
        <f t="shared" si="34"/>
        <v>31888.320858779232</v>
      </c>
      <c r="W89" s="25">
        <v>7515.8299954359691</v>
      </c>
      <c r="X89" s="25">
        <f t="shared" si="26"/>
        <v>39404.150854215201</v>
      </c>
      <c r="Y89" s="24">
        <f t="shared" si="27"/>
        <v>0.51975141850208084</v>
      </c>
      <c r="Z89" s="24">
        <f t="shared" si="28"/>
        <v>0.71137832969791703</v>
      </c>
      <c r="AA89" s="24">
        <f t="shared" si="35"/>
        <v>0.63581513213466878</v>
      </c>
      <c r="AB89" s="24">
        <f t="shared" si="36"/>
        <v>0.85827199227706041</v>
      </c>
      <c r="AD89" s="24">
        <f t="shared" si="38"/>
        <v>0.3318231127560462</v>
      </c>
      <c r="AE89" s="25">
        <f t="shared" si="29"/>
        <v>10581.281887923682</v>
      </c>
      <c r="AF89" s="40">
        <f t="shared" si="37"/>
        <v>0.26853216370710764</v>
      </c>
      <c r="AG89" s="25">
        <f>+ships!G136</f>
        <v>1135.6086684931506</v>
      </c>
      <c r="AI89" s="25">
        <f>+X89*0.597</f>
        <v>23524.278059966473</v>
      </c>
      <c r="AJ89" s="25">
        <f>+'incomeVOC and total income'!Q88+'incomeVOC and total income'!M88+Population!M89</f>
        <v>4353.5708587792342</v>
      </c>
      <c r="AK89" s="25">
        <f>+X89-AI89-AJ89</f>
        <v>11526.301935469493</v>
      </c>
      <c r="AL89" s="24">
        <f>+AI89/X89</f>
        <v>0.59699999999999998</v>
      </c>
      <c r="AM89" s="24">
        <f>+AJ89/X89</f>
        <v>0.11048508252052633</v>
      </c>
      <c r="AN89" s="24">
        <f>+AK89/X89</f>
        <v>0.29251491747947372</v>
      </c>
    </row>
    <row r="90" spans="1:40" x14ac:dyDescent="0.2">
      <c r="A90">
        <v>1787</v>
      </c>
      <c r="B90">
        <v>3740</v>
      </c>
      <c r="C90">
        <v>2594</v>
      </c>
      <c r="D90">
        <v>3710</v>
      </c>
      <c r="E90">
        <v>3708</v>
      </c>
      <c r="F90">
        <v>34</v>
      </c>
      <c r="H90">
        <v>10249</v>
      </c>
      <c r="I90">
        <v>3449</v>
      </c>
      <c r="J90">
        <v>1096</v>
      </c>
      <c r="K90">
        <v>976</v>
      </c>
      <c r="L90">
        <f>+'Company establishment'!B89</f>
        <v>2913</v>
      </c>
      <c r="M90" s="32">
        <v>1462.641505712897</v>
      </c>
      <c r="O90" s="25">
        <f t="shared" si="30"/>
        <v>64951.647741431661</v>
      </c>
      <c r="Q90">
        <f t="shared" si="31"/>
        <v>13698</v>
      </c>
      <c r="R90">
        <f t="shared" si="32"/>
        <v>15770</v>
      </c>
      <c r="S90" s="25">
        <f t="shared" si="40"/>
        <v>10012.320752856449</v>
      </c>
      <c r="T90" s="25">
        <f t="shared" si="25"/>
        <v>18161.641505712898</v>
      </c>
      <c r="U90" s="25">
        <f t="shared" si="33"/>
        <v>23710.320752856449</v>
      </c>
      <c r="V90" s="25">
        <f t="shared" si="34"/>
        <v>33931.641505712898</v>
      </c>
      <c r="W90" s="25">
        <v>7292.3144080983157</v>
      </c>
      <c r="X90" s="25">
        <f t="shared" si="26"/>
        <v>41223.955913811216</v>
      </c>
      <c r="Y90" s="24">
        <f t="shared" si="27"/>
        <v>0.46475794568750484</v>
      </c>
      <c r="Z90" s="24">
        <f t="shared" si="28"/>
        <v>0.69876727740579436</v>
      </c>
      <c r="AA90" s="24">
        <f t="shared" si="35"/>
        <v>0.64990488268864932</v>
      </c>
      <c r="AB90" s="24">
        <f t="shared" si="36"/>
        <v>0.86861128725428027</v>
      </c>
      <c r="AD90" s="24">
        <f t="shared" si="38"/>
        <v>0.3318231127560462</v>
      </c>
      <c r="AE90" s="25">
        <f t="shared" si="29"/>
        <v>11259.302905347908</v>
      </c>
      <c r="AF90" s="40">
        <f t="shared" si="37"/>
        <v>0.2731252412768983</v>
      </c>
      <c r="AG90" s="25">
        <f>+ships!G137</f>
        <v>1512.7397260273972</v>
      </c>
      <c r="AI90" s="25">
        <f>+X90*0.597</f>
        <v>24610.701680545295</v>
      </c>
      <c r="AJ90" s="25">
        <f>+'incomeVOC and total income'!Q89+'incomeVOC and total income'!M89+Population!M90</f>
        <v>5283.141505712897</v>
      </c>
      <c r="AK90" s="25">
        <f>+X90-AI90-AJ90</f>
        <v>11330.112727553023</v>
      </c>
      <c r="AL90" s="24">
        <f>+AI90/X90</f>
        <v>0.59699999999999998</v>
      </c>
      <c r="AM90" s="24">
        <f>+AJ90/X90</f>
        <v>0.1281570724740391</v>
      </c>
      <c r="AN90" s="24">
        <f>+AK90/X90</f>
        <v>0.2748429275259609</v>
      </c>
    </row>
    <row r="91" spans="1:40" x14ac:dyDescent="0.2">
      <c r="A91">
        <v>1788</v>
      </c>
      <c r="B91">
        <v>3481</v>
      </c>
      <c r="C91">
        <v>2440</v>
      </c>
      <c r="D91">
        <v>3389</v>
      </c>
      <c r="E91">
        <v>3351</v>
      </c>
      <c r="F91">
        <v>43</v>
      </c>
      <c r="H91">
        <v>10373</v>
      </c>
      <c r="I91">
        <v>3467</v>
      </c>
      <c r="J91">
        <v>1082</v>
      </c>
      <c r="K91">
        <v>918</v>
      </c>
      <c r="L91">
        <f>+'Company establishment'!B90</f>
        <v>3245</v>
      </c>
      <c r="M91" s="32">
        <v>1648.5676937636815</v>
      </c>
      <c r="O91" s="25">
        <f t="shared" si="30"/>
        <v>65566.513702119555</v>
      </c>
      <c r="Q91">
        <f t="shared" si="31"/>
        <v>13840</v>
      </c>
      <c r="R91">
        <f t="shared" si="32"/>
        <v>15840</v>
      </c>
      <c r="S91" s="25">
        <f t="shared" si="40"/>
        <v>10033.283846881841</v>
      </c>
      <c r="T91" s="25">
        <f t="shared" si="25"/>
        <v>17597.567693763682</v>
      </c>
      <c r="U91" s="25">
        <f t="shared" si="33"/>
        <v>23873.283846881841</v>
      </c>
      <c r="V91" s="25">
        <f t="shared" si="34"/>
        <v>33437.567693763682</v>
      </c>
      <c r="W91" s="25">
        <v>7469.1803687862266</v>
      </c>
      <c r="X91" s="25">
        <f t="shared" si="26"/>
        <v>40906.748062549908</v>
      </c>
      <c r="Y91" s="24">
        <f t="shared" si="27"/>
        <v>0.47371866713122979</v>
      </c>
      <c r="Z91" s="24">
        <f t="shared" si="28"/>
        <v>0.71396592196908981</v>
      </c>
      <c r="AA91" s="24">
        <f t="shared" si="35"/>
        <v>0.65486111111111112</v>
      </c>
      <c r="AB91" s="24">
        <f t="shared" si="36"/>
        <v>0.8737373737373737</v>
      </c>
      <c r="AD91" s="24">
        <f t="shared" si="38"/>
        <v>0.3318231127560462</v>
      </c>
      <c r="AE91" s="25">
        <f t="shared" si="29"/>
        <v>11095.357795135675</v>
      </c>
      <c r="AF91" s="40">
        <f t="shared" si="37"/>
        <v>0.27123539075191033</v>
      </c>
      <c r="AG91" s="25">
        <f>+ships!G138</f>
        <v>1492.7437643835617</v>
      </c>
      <c r="AI91" s="25">
        <f>+X91*0.597</f>
        <v>24421.328593342296</v>
      </c>
      <c r="AJ91" s="25">
        <f>+'incomeVOC and total income'!Q90+'incomeVOC and total income'!M90+Population!M91</f>
        <v>5820.3176937636817</v>
      </c>
      <c r="AK91" s="25">
        <f>+X91-AI91-AJ91</f>
        <v>10665.101775443931</v>
      </c>
      <c r="AL91" s="24">
        <f>+AI91/X91</f>
        <v>0.59699999999999998</v>
      </c>
      <c r="AM91" s="24">
        <f>+AJ91/X91</f>
        <v>0.14228258097817795</v>
      </c>
      <c r="AN91" s="24">
        <f>+AK91/X91</f>
        <v>0.26071741902182205</v>
      </c>
    </row>
    <row r="92" spans="1:40" x14ac:dyDescent="0.2">
      <c r="A92">
        <v>1789</v>
      </c>
      <c r="B92">
        <v>3448</v>
      </c>
      <c r="C92">
        <v>2485</v>
      </c>
      <c r="D92">
        <v>3562</v>
      </c>
      <c r="E92">
        <v>3483</v>
      </c>
      <c r="F92">
        <v>32</v>
      </c>
      <c r="H92">
        <v>10729</v>
      </c>
      <c r="I92">
        <v>3488</v>
      </c>
      <c r="J92">
        <v>1069</v>
      </c>
      <c r="K92">
        <v>1038</v>
      </c>
      <c r="L92">
        <f>+'Company establishment'!B91</f>
        <v>3392</v>
      </c>
      <c r="M92" s="32">
        <v>1743.5829054945809</v>
      </c>
      <c r="O92" s="25">
        <f t="shared" si="30"/>
        <v>67929.254923975968</v>
      </c>
      <c r="Q92">
        <f t="shared" si="31"/>
        <v>14217</v>
      </c>
      <c r="R92">
        <f t="shared" si="32"/>
        <v>16324</v>
      </c>
      <c r="S92" s="25">
        <f t="shared" si="40"/>
        <v>10228.791452747291</v>
      </c>
      <c r="T92" s="25">
        <f t="shared" si="25"/>
        <v>18145.582905494579</v>
      </c>
      <c r="U92" s="25">
        <f t="shared" si="33"/>
        <v>24445.791452747289</v>
      </c>
      <c r="V92" s="25">
        <f t="shared" si="34"/>
        <v>34469.582905494579</v>
      </c>
      <c r="W92" s="25">
        <v>7849.2549239759728</v>
      </c>
      <c r="X92" s="25">
        <f t="shared" si="26"/>
        <v>42318.837829470554</v>
      </c>
      <c r="Y92" s="24">
        <f t="shared" si="27"/>
        <v>0.47357695173613179</v>
      </c>
      <c r="Z92" s="24">
        <f t="shared" si="28"/>
        <v>0.70919893402163969</v>
      </c>
      <c r="AA92" s="24">
        <f t="shared" si="35"/>
        <v>0.6572531242342563</v>
      </c>
      <c r="AB92" s="24">
        <f t="shared" si="36"/>
        <v>0.87092624356775306</v>
      </c>
      <c r="AD92" s="24">
        <f t="shared" si="38"/>
        <v>0.3318231127560462</v>
      </c>
      <c r="AE92" s="25">
        <f t="shared" si="29"/>
        <v>11437.80429510381</v>
      </c>
      <c r="AF92" s="40">
        <f t="shared" si="37"/>
        <v>0.27027689988070985</v>
      </c>
      <c r="AG92" s="25">
        <f>+ships!G139</f>
        <v>1472.6194191780821</v>
      </c>
      <c r="AI92" s="25">
        <f>+X92*0.597</f>
        <v>25264.346184193921</v>
      </c>
      <c r="AJ92" s="25">
        <f>+'incomeVOC and total income'!Q91+'incomeVOC and total income'!M91+Population!M92</f>
        <v>6081.5829054945807</v>
      </c>
      <c r="AK92" s="25">
        <f>+X92-AI92-AJ92</f>
        <v>10972.908739782053</v>
      </c>
      <c r="AL92" s="24">
        <f>+AI92/X92</f>
        <v>0.59699999999999998</v>
      </c>
      <c r="AM92" s="24">
        <f>+AJ92/X92</f>
        <v>0.1437086464898005</v>
      </c>
      <c r="AN92" s="24">
        <f>+AK92/X92</f>
        <v>0.2592913535101995</v>
      </c>
    </row>
    <row r="93" spans="1:40" x14ac:dyDescent="0.2">
      <c r="A93">
        <v>1790</v>
      </c>
      <c r="B93">
        <v>3613</v>
      </c>
      <c r="C93">
        <v>2406</v>
      </c>
      <c r="D93">
        <v>3464</v>
      </c>
      <c r="E93">
        <v>3491</v>
      </c>
      <c r="F93">
        <v>39</v>
      </c>
      <c r="H93">
        <v>11027</v>
      </c>
      <c r="I93">
        <v>3803</v>
      </c>
      <c r="J93">
        <v>1186</v>
      </c>
      <c r="K93">
        <v>1139</v>
      </c>
      <c r="L93">
        <f>+'Company establishment'!B92</f>
        <v>3209</v>
      </c>
      <c r="M93" s="32">
        <v>1668.9800715649026</v>
      </c>
      <c r="O93" s="25">
        <f t="shared" si="30"/>
        <v>68877.895298178686</v>
      </c>
      <c r="Q93">
        <f t="shared" si="31"/>
        <v>14830</v>
      </c>
      <c r="R93">
        <f t="shared" si="32"/>
        <v>17155</v>
      </c>
      <c r="S93" s="25">
        <f t="shared" si="40"/>
        <v>10101.490035782452</v>
      </c>
      <c r="T93" s="25">
        <f t="shared" si="25"/>
        <v>17890.980071564903</v>
      </c>
      <c r="U93" s="25">
        <f t="shared" si="33"/>
        <v>24931.490035782452</v>
      </c>
      <c r="V93" s="25">
        <f t="shared" si="34"/>
        <v>35045.980071564903</v>
      </c>
      <c r="W93" s="25">
        <v>8411.5619648453448</v>
      </c>
      <c r="X93" s="25">
        <f t="shared" si="26"/>
        <v>43457.542036410247</v>
      </c>
      <c r="Y93" s="24">
        <f t="shared" si="27"/>
        <v>0.48949979327069737</v>
      </c>
      <c r="Z93" s="24">
        <f t="shared" si="28"/>
        <v>0.71139371719300271</v>
      </c>
      <c r="AA93" s="24">
        <f t="shared" si="35"/>
        <v>0.64278635966190611</v>
      </c>
      <c r="AB93" s="24">
        <f t="shared" si="36"/>
        <v>0.8644709997085398</v>
      </c>
      <c r="AD93" s="24">
        <f t="shared" si="38"/>
        <v>0.3318231127560462</v>
      </c>
      <c r="AE93" s="25">
        <f t="shared" si="29"/>
        <v>11629.066196933029</v>
      </c>
      <c r="AF93" s="40">
        <f t="shared" si="37"/>
        <v>0.26759604091712758</v>
      </c>
      <c r="AG93" s="25">
        <f>+ships!G140</f>
        <v>933.50801643835609</v>
      </c>
      <c r="AI93" s="25">
        <f>+X93*0.597</f>
        <v>25944.152595736916</v>
      </c>
      <c r="AJ93" s="25">
        <f>+'incomeVOC and total income'!Q92+'incomeVOC and total income'!M92+Population!M93</f>
        <v>5609.4800715649026</v>
      </c>
      <c r="AK93" s="25">
        <f>+X93-AI93-AJ93</f>
        <v>11903.909369108427</v>
      </c>
      <c r="AL93" s="24">
        <f>+AI93/X93</f>
        <v>0.59699999999999998</v>
      </c>
      <c r="AM93" s="24">
        <f>+AJ93/X93</f>
        <v>0.12907955233328852</v>
      </c>
      <c r="AN93" s="24">
        <f>+AK93/X93</f>
        <v>0.27392044766671148</v>
      </c>
    </row>
    <row r="94" spans="1:40" x14ac:dyDescent="0.2">
      <c r="A94">
        <v>1791</v>
      </c>
      <c r="B94">
        <v>3699</v>
      </c>
      <c r="C94">
        <v>2367</v>
      </c>
      <c r="D94">
        <v>3466</v>
      </c>
      <c r="E94">
        <v>3396</v>
      </c>
      <c r="F94">
        <v>23</v>
      </c>
      <c r="H94">
        <v>10472</v>
      </c>
      <c r="I94">
        <v>3696</v>
      </c>
      <c r="J94">
        <v>1149</v>
      </c>
      <c r="K94">
        <v>963</v>
      </c>
      <c r="L94">
        <f>+'Company establishment'!B93</f>
        <v>2890</v>
      </c>
      <c r="M94" s="32">
        <v>1520.8064709327127</v>
      </c>
      <c r="O94" s="25">
        <f t="shared" si="30"/>
        <v>65631</v>
      </c>
      <c r="Q94">
        <f t="shared" si="31"/>
        <v>14168</v>
      </c>
      <c r="R94">
        <f t="shared" si="32"/>
        <v>16280</v>
      </c>
      <c r="S94" s="25">
        <f t="shared" si="40"/>
        <v>9739.4032354663559</v>
      </c>
      <c r="T94" s="25">
        <f t="shared" si="25"/>
        <v>17361.806470932715</v>
      </c>
      <c r="U94" s="25">
        <f t="shared" si="33"/>
        <v>23907.403235466358</v>
      </c>
      <c r="V94" s="25">
        <f t="shared" si="34"/>
        <v>33641.806470932715</v>
      </c>
      <c r="W94" s="25">
        <v>8140</v>
      </c>
      <c r="X94" s="25">
        <f t="shared" si="26"/>
        <v>41781.806470932715</v>
      </c>
      <c r="Y94" s="24">
        <f t="shared" si="27"/>
        <v>0.48392169469455482</v>
      </c>
      <c r="Z94" s="24">
        <f t="shared" si="28"/>
        <v>0.71064564431529254</v>
      </c>
      <c r="AA94" s="24">
        <f t="shared" si="35"/>
        <v>0.64324324324324322</v>
      </c>
      <c r="AB94" s="24">
        <f t="shared" si="36"/>
        <v>0.87027027027027026</v>
      </c>
      <c r="AD94" s="24">
        <f t="shared" si="38"/>
        <v>0.3318231127560462</v>
      </c>
      <c r="AE94" s="25">
        <f t="shared" si="29"/>
        <v>11163.128941921392</v>
      </c>
      <c r="AF94" s="40">
        <f t="shared" si="37"/>
        <v>0.26717679020622276</v>
      </c>
      <c r="AG94" s="25">
        <f>+ships!G141</f>
        <v>1566.3116739726026</v>
      </c>
      <c r="AI94" s="25">
        <f>+X94*0.597</f>
        <v>24943.73846314683</v>
      </c>
      <c r="AJ94" s="25">
        <f>+'incomeVOC and total income'!Q93+'incomeVOC and total income'!M93+Population!M94</f>
        <v>4927.8064709327127</v>
      </c>
      <c r="AK94" s="25">
        <f>+X94-AI94-AJ94</f>
        <v>11910.261536853173</v>
      </c>
      <c r="AL94" s="24">
        <f>+AI94/X94</f>
        <v>0.59699999999999998</v>
      </c>
      <c r="AM94" s="24">
        <f>+AJ94/X94</f>
        <v>0.11794144119548661</v>
      </c>
      <c r="AN94" s="24">
        <f>+AK94/X94</f>
        <v>0.28505855880451342</v>
      </c>
    </row>
    <row r="95" spans="1:40" x14ac:dyDescent="0.2">
      <c r="A95">
        <v>1792</v>
      </c>
      <c r="B95">
        <v>3946</v>
      </c>
      <c r="C95">
        <v>2778</v>
      </c>
      <c r="D95">
        <v>3642</v>
      </c>
      <c r="E95">
        <v>3601</v>
      </c>
      <c r="F95">
        <v>31</v>
      </c>
      <c r="H95">
        <v>10419</v>
      </c>
      <c r="I95">
        <v>3960</v>
      </c>
      <c r="J95">
        <v>1274</v>
      </c>
      <c r="K95">
        <v>1087</v>
      </c>
      <c r="L95">
        <f>+'Company establishment'!B94</f>
        <v>2168</v>
      </c>
      <c r="M95" s="32">
        <v>1154.3302105342943</v>
      </c>
      <c r="O95" s="25">
        <f t="shared" si="30"/>
        <v>64324.666666666657</v>
      </c>
      <c r="Q95">
        <f t="shared" si="31"/>
        <v>14379</v>
      </c>
      <c r="R95">
        <f t="shared" si="32"/>
        <v>16740</v>
      </c>
      <c r="S95" s="25">
        <f t="shared" si="40"/>
        <v>9500.1651052671477</v>
      </c>
      <c r="T95" s="25">
        <f t="shared" si="25"/>
        <v>17320.330210534295</v>
      </c>
      <c r="U95" s="25">
        <f t="shared" si="33"/>
        <v>23879.165105267148</v>
      </c>
      <c r="V95" s="25">
        <f t="shared" si="34"/>
        <v>34060.330210534295</v>
      </c>
      <c r="W95" s="25">
        <v>8370</v>
      </c>
      <c r="X95" s="25">
        <f t="shared" si="26"/>
        <v>42430.330210534295</v>
      </c>
      <c r="Y95" s="24">
        <f t="shared" si="27"/>
        <v>0.49148084873301068</v>
      </c>
      <c r="Z95" s="24">
        <f t="shared" si="28"/>
        <v>0.70108436875581781</v>
      </c>
      <c r="AA95" s="24">
        <f t="shared" si="35"/>
        <v>0.62240143369175627</v>
      </c>
      <c r="AB95" s="24">
        <f t="shared" si="36"/>
        <v>0.85896057347670252</v>
      </c>
      <c r="AD95" s="24">
        <f t="shared" si="38"/>
        <v>0.3318231127560462</v>
      </c>
      <c r="AE95" s="25">
        <f t="shared" si="29"/>
        <v>11302.004791958288</v>
      </c>
      <c r="AF95" s="40">
        <f t="shared" si="37"/>
        <v>0.26636617570212329</v>
      </c>
      <c r="AG95" s="25">
        <f>+ships!G142</f>
        <v>1315.9514082191779</v>
      </c>
      <c r="AI95" s="25">
        <f>+X95*0.597</f>
        <v>25330.907135688973</v>
      </c>
      <c r="AJ95" s="25">
        <f>+'incomeVOC and total income'!Q94+'incomeVOC and total income'!M94+Population!M95</f>
        <v>3871.8302105342946</v>
      </c>
      <c r="AK95" s="25">
        <f>+X95-AI95-AJ95</f>
        <v>13227.592864311027</v>
      </c>
      <c r="AL95" s="24">
        <f>+AI95/X95</f>
        <v>0.59699999999999998</v>
      </c>
      <c r="AM95" s="24">
        <f>+AJ95/X95</f>
        <v>9.125147486061809E-2</v>
      </c>
      <c r="AN95" s="24">
        <f>+AK95/X95</f>
        <v>0.31174852513938195</v>
      </c>
    </row>
    <row r="96" spans="1:40" x14ac:dyDescent="0.2">
      <c r="A96">
        <v>1793</v>
      </c>
      <c r="B96">
        <v>4032</v>
      </c>
      <c r="C96">
        <v>2730</v>
      </c>
      <c r="D96">
        <v>3466</v>
      </c>
      <c r="E96">
        <v>3602</v>
      </c>
      <c r="F96">
        <v>12</v>
      </c>
      <c r="H96">
        <v>11705</v>
      </c>
      <c r="I96">
        <v>4802</v>
      </c>
      <c r="J96">
        <v>1334</v>
      </c>
      <c r="K96">
        <v>1119</v>
      </c>
      <c r="L96">
        <f>+'Company establishment'!B95</f>
        <v>2331</v>
      </c>
      <c r="M96" s="32">
        <v>1255.7631442160305</v>
      </c>
      <c r="O96" s="25">
        <f t="shared" si="30"/>
        <v>70108.666666666686</v>
      </c>
      <c r="Q96">
        <f t="shared" si="31"/>
        <v>16507</v>
      </c>
      <c r="R96">
        <f t="shared" si="32"/>
        <v>18960</v>
      </c>
      <c r="S96" s="25">
        <f t="shared" si="40"/>
        <v>9732.8815721080155</v>
      </c>
      <c r="T96" s="25">
        <f t="shared" si="25"/>
        <v>17428.763144216031</v>
      </c>
      <c r="U96" s="25">
        <f t="shared" si="33"/>
        <v>26239.881572108017</v>
      </c>
      <c r="V96" s="25">
        <f t="shared" si="34"/>
        <v>36388.763144216035</v>
      </c>
      <c r="W96" s="25">
        <v>9480</v>
      </c>
      <c r="X96" s="25">
        <f t="shared" si="26"/>
        <v>45868.763144216035</v>
      </c>
      <c r="Y96" s="24">
        <f t="shared" si="27"/>
        <v>0.52103996843359812</v>
      </c>
      <c r="Z96" s="24">
        <f t="shared" si="28"/>
        <v>0.72109847394686255</v>
      </c>
      <c r="AA96" s="24">
        <f t="shared" si="35"/>
        <v>0.61735232067510548</v>
      </c>
      <c r="AB96" s="24">
        <f t="shared" si="36"/>
        <v>0.87062236286919836</v>
      </c>
      <c r="AD96" s="24">
        <f t="shared" si="38"/>
        <v>0.3318231127560462</v>
      </c>
      <c r="AE96" s="25">
        <f t="shared" si="29"/>
        <v>12074.632655856256</v>
      </c>
      <c r="AF96" s="40">
        <f t="shared" si="37"/>
        <v>0.26324304010318283</v>
      </c>
      <c r="AG96" s="25">
        <f>+ships!G143</f>
        <v>822.7973287671233</v>
      </c>
      <c r="AI96" s="25">
        <f>+X96*0.597</f>
        <v>27383.65159709697</v>
      </c>
      <c r="AJ96" s="25">
        <f>+'incomeVOC and total income'!Q95+'incomeVOC and total income'!M95+Population!M96</f>
        <v>4168.7631442160309</v>
      </c>
      <c r="AK96" s="25">
        <f>+X96-AI96-AJ96</f>
        <v>14316.348402903033</v>
      </c>
      <c r="AL96" s="24">
        <f>+AI96/X96</f>
        <v>0.59699999999999998</v>
      </c>
      <c r="AM96" s="24">
        <f>+AJ96/X96</f>
        <v>9.0884577181839801E-2</v>
      </c>
      <c r="AN96" s="24">
        <f>+AK96/X96</f>
        <v>0.31211542281816024</v>
      </c>
    </row>
    <row r="97" spans="1:40" x14ac:dyDescent="0.2">
      <c r="A97">
        <v>1794</v>
      </c>
      <c r="B97" s="56">
        <f>+(B96+B98)/2</f>
        <v>4145.5</v>
      </c>
      <c r="C97" s="56">
        <f t="shared" ref="C97:L97" si="41">+(C96+C98)/2</f>
        <v>2800</v>
      </c>
      <c r="D97" s="56">
        <f t="shared" si="41"/>
        <v>3714.5</v>
      </c>
      <c r="E97" s="56">
        <f t="shared" si="41"/>
        <v>3719.5</v>
      </c>
      <c r="F97" s="56">
        <f t="shared" si="41"/>
        <v>17.5</v>
      </c>
      <c r="G97" s="57"/>
      <c r="H97">
        <v>12951</v>
      </c>
      <c r="I97">
        <v>5652</v>
      </c>
      <c r="J97">
        <v>1397</v>
      </c>
      <c r="K97">
        <v>1259</v>
      </c>
      <c r="L97" s="56">
        <f t="shared" si="41"/>
        <v>1926.5</v>
      </c>
      <c r="M97" s="55">
        <v>1048</v>
      </c>
      <c r="O97" s="25">
        <f t="shared" si="30"/>
        <v>74618.107452720666</v>
      </c>
      <c r="Q97">
        <f t="shared" si="31"/>
        <v>18603</v>
      </c>
      <c r="R97">
        <f t="shared" si="32"/>
        <v>21259</v>
      </c>
      <c r="S97" s="32">
        <f>+(S96+S98)/2</f>
        <v>9413.4407860540086</v>
      </c>
      <c r="T97" s="25">
        <f t="shared" si="25"/>
        <v>17371.440786054009</v>
      </c>
      <c r="U97" s="25">
        <f t="shared" si="33"/>
        <v>28016.440786054009</v>
      </c>
      <c r="V97" s="25">
        <f t="shared" si="34"/>
        <v>38630.440786054009</v>
      </c>
      <c r="W97" s="25">
        <v>10629.5</v>
      </c>
      <c r="X97" s="25">
        <f t="shared" si="26"/>
        <v>49259.940786054009</v>
      </c>
      <c r="Y97" s="24">
        <f t="shared" si="27"/>
        <v>0.55031730333438811</v>
      </c>
      <c r="Z97" s="24">
        <f t="shared" si="28"/>
        <v>0.72524258631209393</v>
      </c>
      <c r="AA97" s="24">
        <f t="shared" si="35"/>
        <v>0.60920080906910012</v>
      </c>
      <c r="AB97" s="24">
        <f t="shared" si="36"/>
        <v>0.87506467848911051</v>
      </c>
      <c r="AD97" s="24">
        <f t="shared" si="38"/>
        <v>0.3318231127560462</v>
      </c>
      <c r="AE97" s="25">
        <f t="shared" si="29"/>
        <v>12818.473108766566</v>
      </c>
      <c r="AF97" s="40">
        <f t="shared" si="37"/>
        <v>0.26022104176778887</v>
      </c>
      <c r="AG97" s="25">
        <f>+ships!G144</f>
        <v>123.01369863013699</v>
      </c>
      <c r="AI97" s="25">
        <f>+X97*0.597</f>
        <v>29408.184649274241</v>
      </c>
      <c r="AJ97" s="25">
        <f>+'incomeVOC and total income'!Q96+'incomeVOC and total income'!M96+Population!M97</f>
        <v>1606</v>
      </c>
      <c r="AK97" s="25">
        <f>+X97-AI97-AJ97</f>
        <v>18245.756136779768</v>
      </c>
      <c r="AL97" s="24">
        <f>+AI97/X97</f>
        <v>0.59699999999999998</v>
      </c>
      <c r="AM97" s="24">
        <f>+AJ97/X97</f>
        <v>3.2602556445919945E-2</v>
      </c>
      <c r="AN97" s="24">
        <f>+AK97/X97</f>
        <v>0.37039744355408011</v>
      </c>
    </row>
    <row r="98" spans="1:40" x14ac:dyDescent="0.2">
      <c r="A98">
        <v>1795</v>
      </c>
      <c r="B98">
        <v>4259</v>
      </c>
      <c r="C98">
        <v>2870</v>
      </c>
      <c r="D98">
        <v>3963</v>
      </c>
      <c r="E98">
        <v>3837</v>
      </c>
      <c r="F98">
        <v>23</v>
      </c>
      <c r="G98">
        <f t="shared" ref="G98" si="42">+L98/(L98+M98)</f>
        <v>0.64436917866215071</v>
      </c>
      <c r="H98">
        <v>12996</v>
      </c>
      <c r="I98">
        <v>5529</v>
      </c>
      <c r="J98">
        <v>1541</v>
      </c>
      <c r="K98">
        <v>1408</v>
      </c>
      <c r="L98">
        <v>1522</v>
      </c>
      <c r="M98">
        <v>840</v>
      </c>
      <c r="O98" s="25">
        <f t="shared" si="30"/>
        <v>74082.333333333343</v>
      </c>
      <c r="Q98">
        <f t="shared" si="31"/>
        <v>18525</v>
      </c>
      <c r="R98">
        <f t="shared" si="32"/>
        <v>21474</v>
      </c>
      <c r="S98" s="25">
        <f>B98+C98+L98+F98+0.5*M98</f>
        <v>9094</v>
      </c>
      <c r="T98" s="25">
        <f t="shared" si="25"/>
        <v>17314</v>
      </c>
      <c r="U98" s="25">
        <f t="shared" si="33"/>
        <v>27619</v>
      </c>
      <c r="V98" s="25">
        <f t="shared" si="34"/>
        <v>38788</v>
      </c>
      <c r="W98" s="25">
        <v>10737</v>
      </c>
      <c r="X98" s="25">
        <f t="shared" si="26"/>
        <v>49525</v>
      </c>
      <c r="Y98" s="24">
        <f t="shared" si="27"/>
        <v>0.55362483242239868</v>
      </c>
      <c r="Z98" s="24">
        <f t="shared" si="28"/>
        <v>0.71205011859337941</v>
      </c>
      <c r="AA98" s="24">
        <f t="shared" si="35"/>
        <v>0.60519698239731767</v>
      </c>
      <c r="AB98" s="24">
        <f t="shared" si="36"/>
        <v>0.862671137189159</v>
      </c>
      <c r="AD98" s="24">
        <f t="shared" si="38"/>
        <v>0.3318231127560462</v>
      </c>
      <c r="AE98" s="25">
        <f t="shared" si="29"/>
        <v>12870.754897581521</v>
      </c>
      <c r="AF98" s="40">
        <f t="shared" si="37"/>
        <v>0.25988399591280203</v>
      </c>
      <c r="AG98" s="25">
        <f>+ships!G145</f>
        <v>59.178082191780824</v>
      </c>
      <c r="AI98" s="25">
        <f>+X98*0.597</f>
        <v>29566.424999999999</v>
      </c>
      <c r="AJ98" s="25">
        <f>+'incomeVOC and total income'!Q97+'incomeVOC and total income'!M97+Population!M98</f>
        <v>1374</v>
      </c>
      <c r="AK98" s="25">
        <f>+X98-AI98-AJ98</f>
        <v>18584.575000000001</v>
      </c>
      <c r="AL98" s="24">
        <f>+AI98/X98</f>
        <v>0.59699999999999998</v>
      </c>
      <c r="AM98" s="24">
        <f>+AJ98/X98</f>
        <v>2.7743563856638061E-2</v>
      </c>
      <c r="AN98" s="24">
        <f>+AK98/X98</f>
        <v>0.37525643614336196</v>
      </c>
    </row>
    <row r="99" spans="1:40" x14ac:dyDescent="0.2">
      <c r="AA99">
        <v>0.59705017378130287</v>
      </c>
      <c r="AB99">
        <v>0.85963817841547097</v>
      </c>
    </row>
    <row r="100" spans="1:40" x14ac:dyDescent="0.2">
      <c r="B100" s="7" t="s">
        <v>29</v>
      </c>
      <c r="C100" s="7"/>
      <c r="D100" s="7"/>
      <c r="E100" s="7"/>
      <c r="X100" s="25"/>
      <c r="AA100">
        <v>0.61024123618131754</v>
      </c>
      <c r="AB100">
        <v>0.88336826531870305</v>
      </c>
    </row>
    <row r="101" spans="1:40" x14ac:dyDescent="0.2">
      <c r="B101" s="8" t="s">
        <v>30</v>
      </c>
      <c r="C101" s="8"/>
      <c r="D101" s="8"/>
      <c r="E101" s="8"/>
      <c r="F101" s="8"/>
      <c r="G101" s="8"/>
      <c r="X101" s="25"/>
      <c r="AA101">
        <v>0.59726548278791314</v>
      </c>
      <c r="AB101">
        <v>0.86416407103272519</v>
      </c>
    </row>
    <row r="102" spans="1:40" x14ac:dyDescent="0.2">
      <c r="B102" s="9" t="s">
        <v>31</v>
      </c>
      <c r="C102" s="9"/>
      <c r="X102" s="25"/>
      <c r="AA102">
        <v>0.58451284061948638</v>
      </c>
      <c r="AB102">
        <v>0.84653989413840425</v>
      </c>
    </row>
    <row r="103" spans="1:40" x14ac:dyDescent="0.2">
      <c r="X103" s="25"/>
      <c r="AA103">
        <v>0.57249904906808669</v>
      </c>
      <c r="AB103">
        <v>0.82993533662989727</v>
      </c>
    </row>
    <row r="104" spans="1:40" x14ac:dyDescent="0.2">
      <c r="X104" s="25"/>
      <c r="AA104">
        <v>0.56091070372560614</v>
      </c>
      <c r="AB104">
        <v>0.81423713778829099</v>
      </c>
    </row>
    <row r="105" spans="1:40" x14ac:dyDescent="0.2">
      <c r="AA105">
        <v>0.56208789184808639</v>
      </c>
      <c r="AB105">
        <v>0.81898552326223895</v>
      </c>
    </row>
    <row r="106" spans="1:40" x14ac:dyDescent="0.2">
      <c r="AA106">
        <v>0.56315183773286337</v>
      </c>
      <c r="AB106">
        <v>0.82582895777889664</v>
      </c>
    </row>
    <row r="107" spans="1:40" x14ac:dyDescent="0.2">
      <c r="AA107">
        <v>0.56989324870167335</v>
      </c>
      <c r="AB107">
        <v>0.839836987882285</v>
      </c>
    </row>
    <row r="108" spans="1:40" x14ac:dyDescent="0.2">
      <c r="AA108">
        <v>0.54089562641575184</v>
      </c>
      <c r="AB108">
        <v>0.79215891270256145</v>
      </c>
    </row>
    <row r="109" spans="1:40" x14ac:dyDescent="0.2">
      <c r="AA109">
        <v>0.52095351767124198</v>
      </c>
      <c r="AB109">
        <v>0.75946555268218285</v>
      </c>
    </row>
    <row r="110" spans="1:40" x14ac:dyDescent="0.2">
      <c r="AA110">
        <v>0.51990671894011087</v>
      </c>
      <c r="AB110">
        <v>0.76054481546572938</v>
      </c>
    </row>
    <row r="111" spans="1:40" x14ac:dyDescent="0.2">
      <c r="AA111">
        <v>0.58184498877458701</v>
      </c>
      <c r="AB111">
        <v>0.86958415708876458</v>
      </c>
    </row>
    <row r="112" spans="1:40" x14ac:dyDescent="0.2">
      <c r="AA112">
        <v>0.57668795464635769</v>
      </c>
      <c r="AB112">
        <v>0.87155493323315458</v>
      </c>
    </row>
    <row r="113" spans="27:28" x14ac:dyDescent="0.2">
      <c r="AA113">
        <v>0.57012277388019428</v>
      </c>
      <c r="AB113">
        <v>0.86295871559633031</v>
      </c>
    </row>
    <row r="114" spans="27:28" x14ac:dyDescent="0.2">
      <c r="AA114">
        <v>0.54982520286089998</v>
      </c>
      <c r="AB114">
        <v>0.8412392956797845</v>
      </c>
    </row>
    <row r="115" spans="27:28" x14ac:dyDescent="0.2">
      <c r="AA115">
        <v>0.53723174898006565</v>
      </c>
      <c r="AB115">
        <v>0.82301237188629806</v>
      </c>
    </row>
    <row r="116" spans="27:28" x14ac:dyDescent="0.2">
      <c r="AA116">
        <v>0.53312602291325695</v>
      </c>
      <c r="AB116">
        <v>0.80615384615384611</v>
      </c>
    </row>
    <row r="117" spans="27:28" x14ac:dyDescent="0.2">
      <c r="AA117">
        <v>0.53298616657614772</v>
      </c>
      <c r="AB117">
        <v>0.79185968499408965</v>
      </c>
    </row>
    <row r="118" spans="27:28" x14ac:dyDescent="0.2">
      <c r="AA118">
        <v>0.51045997049751912</v>
      </c>
      <c r="AB118">
        <v>0.78610701354432078</v>
      </c>
    </row>
    <row r="119" spans="27:28" x14ac:dyDescent="0.2">
      <c r="AA119">
        <v>0.50059198842333752</v>
      </c>
      <c r="AB119">
        <v>0.77257778070117744</v>
      </c>
    </row>
    <row r="120" spans="27:28" x14ac:dyDescent="0.2">
      <c r="AA120">
        <v>0.45203398238868908</v>
      </c>
      <c r="AB120">
        <v>0.69288726280540747</v>
      </c>
    </row>
    <row r="121" spans="27:28" x14ac:dyDescent="0.2">
      <c r="AA121">
        <v>0.44819135074765776</v>
      </c>
      <c r="AB121">
        <v>0.68592169758639943</v>
      </c>
    </row>
    <row r="122" spans="27:28" x14ac:dyDescent="0.2">
      <c r="AA122">
        <v>0.43976659555778641</v>
      </c>
      <c r="AB122">
        <v>0.68063747019701337</v>
      </c>
    </row>
    <row r="123" spans="27:28" x14ac:dyDescent="0.2">
      <c r="AA123">
        <v>0.43364632237871675</v>
      </c>
      <c r="AB123">
        <v>0.67405320813771519</v>
      </c>
    </row>
    <row r="124" spans="27:28" x14ac:dyDescent="0.2">
      <c r="AA124">
        <v>0.42397813469274942</v>
      </c>
      <c r="AB124">
        <v>0.66640051592298011</v>
      </c>
    </row>
    <row r="125" spans="27:28" x14ac:dyDescent="0.2">
      <c r="AA125">
        <v>0.41557249104765404</v>
      </c>
      <c r="AB125">
        <v>0.65815811220273623</v>
      </c>
    </row>
    <row r="126" spans="27:28" x14ac:dyDescent="0.2">
      <c r="AA126">
        <v>0.42101473191514899</v>
      </c>
      <c r="AB126">
        <v>0.66197605688739536</v>
      </c>
    </row>
    <row r="127" spans="27:28" x14ac:dyDescent="0.2">
      <c r="AA127">
        <v>0.39954810770099791</v>
      </c>
      <c r="AB127">
        <v>0.64855959329693091</v>
      </c>
    </row>
    <row r="128" spans="27:28" x14ac:dyDescent="0.2">
      <c r="AA128">
        <v>0.39678251631507055</v>
      </c>
      <c r="AB128">
        <v>0.6405524358779785</v>
      </c>
    </row>
    <row r="129" spans="27:28" x14ac:dyDescent="0.2">
      <c r="AA129">
        <v>0.39303347784200388</v>
      </c>
      <c r="AB129">
        <v>0.63553709055876684</v>
      </c>
    </row>
    <row r="130" spans="27:28" x14ac:dyDescent="0.2">
      <c r="AA130">
        <v>0.37865642042637582</v>
      </c>
      <c r="AB130">
        <v>0.61703644025780857</v>
      </c>
    </row>
    <row r="131" spans="27:28" x14ac:dyDescent="0.2">
      <c r="AA131">
        <v>0.36529428018789722</v>
      </c>
      <c r="AB131">
        <v>0.60332811396641184</v>
      </c>
    </row>
    <row r="132" spans="27:28" x14ac:dyDescent="0.2">
      <c r="AA132">
        <v>0.35250593751903053</v>
      </c>
      <c r="AB132">
        <v>0.58951951769076183</v>
      </c>
    </row>
    <row r="133" spans="27:28" x14ac:dyDescent="0.2">
      <c r="AA133">
        <v>0.36193907631837535</v>
      </c>
      <c r="AB133">
        <v>0.59461632373522322</v>
      </c>
    </row>
    <row r="134" spans="27:28" x14ac:dyDescent="0.2">
      <c r="AA134">
        <v>0.35050247575517857</v>
      </c>
      <c r="AB134">
        <v>0.5971697283994023</v>
      </c>
    </row>
    <row r="135" spans="27:28" x14ac:dyDescent="0.2">
      <c r="AA135">
        <v>0.34116272275781478</v>
      </c>
      <c r="AB135">
        <v>0.57803096698802225</v>
      </c>
    </row>
    <row r="136" spans="27:28" x14ac:dyDescent="0.2">
      <c r="AA136">
        <v>0.36428814401967713</v>
      </c>
      <c r="AB136">
        <v>0.60389355522411492</v>
      </c>
    </row>
    <row r="137" spans="27:28" x14ac:dyDescent="0.2">
      <c r="AA137">
        <v>0.34108826285903304</v>
      </c>
      <c r="AB137">
        <v>0.59019240310932242</v>
      </c>
    </row>
    <row r="138" spans="27:28" x14ac:dyDescent="0.2">
      <c r="AA138">
        <v>0.34164279418245924</v>
      </c>
      <c r="AB138">
        <v>0.55547598060819747</v>
      </c>
    </row>
  </sheetData>
  <phoneticPr fontId="0"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7"/>
  <sheetViews>
    <sheetView topLeftCell="A88" workbookViewId="0">
      <selection activeCell="K90" sqref="K90"/>
    </sheetView>
  </sheetViews>
  <sheetFormatPr defaultRowHeight="12.75" x14ac:dyDescent="0.2"/>
  <sheetData>
    <row r="1" spans="1:11" x14ac:dyDescent="0.2">
      <c r="A1" t="s">
        <v>32</v>
      </c>
      <c r="J1" t="s">
        <v>254</v>
      </c>
    </row>
    <row r="2" spans="1:11" s="5" customFormat="1" x14ac:dyDescent="0.2">
      <c r="A2" s="27" t="s">
        <v>0</v>
      </c>
      <c r="B2" s="27" t="s">
        <v>33</v>
      </c>
      <c r="C2" s="59" t="s">
        <v>34</v>
      </c>
      <c r="D2" s="27" t="s">
        <v>35</v>
      </c>
      <c r="E2" s="60" t="s">
        <v>36</v>
      </c>
      <c r="F2" s="61" t="s">
        <v>37</v>
      </c>
      <c r="G2" s="27"/>
      <c r="H2" s="27" t="s">
        <v>227</v>
      </c>
      <c r="I2" s="27" t="s">
        <v>344</v>
      </c>
      <c r="J2" s="27" t="s">
        <v>253</v>
      </c>
      <c r="K2" s="27"/>
    </row>
    <row r="3" spans="1:11" s="5" customFormat="1" x14ac:dyDescent="0.2">
      <c r="A3" s="27"/>
      <c r="B3" s="27" t="s">
        <v>228</v>
      </c>
      <c r="C3" s="59" t="s">
        <v>38</v>
      </c>
      <c r="D3" s="27"/>
      <c r="E3" s="60" t="s">
        <v>39</v>
      </c>
      <c r="F3" s="61"/>
      <c r="G3" s="27"/>
      <c r="H3" s="27" t="s">
        <v>343</v>
      </c>
      <c r="I3" s="27"/>
      <c r="J3" s="27" t="s">
        <v>342</v>
      </c>
      <c r="K3" s="27"/>
    </row>
    <row r="4" spans="1:11" s="5" customFormat="1" x14ac:dyDescent="0.2">
      <c r="A4" s="5">
        <f t="shared" ref="A4:A27" si="0">+A5-1</f>
        <v>1699</v>
      </c>
      <c r="C4" s="10"/>
      <c r="E4" s="11"/>
      <c r="F4" s="12"/>
    </row>
    <row r="5" spans="1:11" s="5" customFormat="1" x14ac:dyDescent="0.2">
      <c r="A5" s="5">
        <f t="shared" si="0"/>
        <v>1700</v>
      </c>
      <c r="C5" s="10"/>
      <c r="E5" s="11"/>
      <c r="F5" s="12"/>
    </row>
    <row r="6" spans="1:11" s="5" customFormat="1" ht="15" x14ac:dyDescent="0.25">
      <c r="A6" s="5">
        <f t="shared" si="0"/>
        <v>1701</v>
      </c>
      <c r="C6" s="10"/>
      <c r="E6" s="11"/>
      <c r="F6" s="12"/>
      <c r="J6" s="42">
        <v>8.5</v>
      </c>
    </row>
    <row r="7" spans="1:11" s="5" customFormat="1" ht="15" x14ac:dyDescent="0.25">
      <c r="A7" s="5">
        <f t="shared" si="0"/>
        <v>1702</v>
      </c>
      <c r="C7" s="10"/>
      <c r="E7" s="11"/>
      <c r="F7" s="12"/>
      <c r="J7" s="42">
        <v>8.5</v>
      </c>
    </row>
    <row r="8" spans="1:11" s="5" customFormat="1" ht="15" x14ac:dyDescent="0.25">
      <c r="A8" s="5">
        <f t="shared" si="0"/>
        <v>1703</v>
      </c>
      <c r="C8" s="10"/>
      <c r="E8" s="11"/>
      <c r="F8" s="12"/>
      <c r="J8" s="42">
        <v>8.5</v>
      </c>
    </row>
    <row r="9" spans="1:11" s="5" customFormat="1" ht="15" x14ac:dyDescent="0.25">
      <c r="A9" s="5">
        <f t="shared" si="0"/>
        <v>1704</v>
      </c>
      <c r="C9" s="10"/>
      <c r="E9" s="11"/>
      <c r="F9" s="12"/>
      <c r="J9" s="42">
        <v>8.5</v>
      </c>
    </row>
    <row r="10" spans="1:11" s="5" customFormat="1" x14ac:dyDescent="0.2">
      <c r="A10" s="5">
        <f t="shared" si="0"/>
        <v>1705</v>
      </c>
      <c r="C10" s="10"/>
      <c r="E10" s="11"/>
      <c r="F10" s="12"/>
      <c r="J10" s="43">
        <v>8.5</v>
      </c>
    </row>
    <row r="11" spans="1:11" s="5" customFormat="1" x14ac:dyDescent="0.2">
      <c r="A11" s="5">
        <f t="shared" si="0"/>
        <v>1706</v>
      </c>
      <c r="B11" s="27">
        <f t="shared" ref="B11:B52" si="1">+C11*2</f>
        <v>19600</v>
      </c>
      <c r="C11" s="59">
        <f t="shared" ref="C11:C52" si="2">+H11*7</f>
        <v>9800</v>
      </c>
      <c r="D11" s="27"/>
      <c r="E11" s="60"/>
      <c r="F11" s="61"/>
      <c r="G11" s="27"/>
      <c r="H11" s="27">
        <v>1400</v>
      </c>
      <c r="J11" s="44">
        <v>8.5</v>
      </c>
    </row>
    <row r="12" spans="1:11" s="5" customFormat="1" ht="15" x14ac:dyDescent="0.25">
      <c r="A12" s="5">
        <f t="shared" si="0"/>
        <v>1707</v>
      </c>
      <c r="B12" s="27">
        <f t="shared" si="1"/>
        <v>56070</v>
      </c>
      <c r="C12" s="59">
        <f t="shared" si="2"/>
        <v>28035</v>
      </c>
      <c r="D12" s="27"/>
      <c r="E12" s="60"/>
      <c r="F12" s="61"/>
      <c r="G12" s="27"/>
      <c r="H12" s="27">
        <v>4005</v>
      </c>
      <c r="J12" s="45">
        <v>8.5</v>
      </c>
    </row>
    <row r="13" spans="1:11" s="5" customFormat="1" x14ac:dyDescent="0.2">
      <c r="A13" s="5">
        <f t="shared" si="0"/>
        <v>1708</v>
      </c>
      <c r="B13" s="27">
        <f t="shared" si="1"/>
        <v>74340</v>
      </c>
      <c r="C13" s="59">
        <f t="shared" si="2"/>
        <v>37170</v>
      </c>
      <c r="D13" s="27"/>
      <c r="E13" s="60"/>
      <c r="F13" s="61"/>
      <c r="G13" s="27"/>
      <c r="H13" s="27">
        <v>5310</v>
      </c>
      <c r="J13" s="44">
        <v>8.5</v>
      </c>
    </row>
    <row r="14" spans="1:11" s="5" customFormat="1" x14ac:dyDescent="0.2">
      <c r="A14" s="5">
        <f t="shared" si="0"/>
        <v>1709</v>
      </c>
      <c r="B14" s="27">
        <f t="shared" si="1"/>
        <v>53746</v>
      </c>
      <c r="C14" s="59">
        <f t="shared" si="2"/>
        <v>26873</v>
      </c>
      <c r="D14" s="27"/>
      <c r="E14" s="60"/>
      <c r="F14" s="61"/>
      <c r="G14" s="27"/>
      <c r="H14" s="27">
        <v>3839</v>
      </c>
      <c r="J14" s="31">
        <f>+(J13+J15)/2</f>
        <v>9.125</v>
      </c>
    </row>
    <row r="15" spans="1:11" s="5" customFormat="1" x14ac:dyDescent="0.2">
      <c r="A15" s="5">
        <f t="shared" si="0"/>
        <v>1710</v>
      </c>
      <c r="B15" s="27">
        <f t="shared" si="1"/>
        <v>48244</v>
      </c>
      <c r="C15" s="59">
        <f t="shared" si="2"/>
        <v>24122</v>
      </c>
      <c r="D15" s="27"/>
      <c r="E15" s="60"/>
      <c r="F15" s="61"/>
      <c r="G15" s="27"/>
      <c r="H15" s="27">
        <v>3446</v>
      </c>
      <c r="J15" s="44">
        <v>9.75</v>
      </c>
    </row>
    <row r="16" spans="1:11" s="5" customFormat="1" x14ac:dyDescent="0.2">
      <c r="A16" s="5">
        <f t="shared" si="0"/>
        <v>1711</v>
      </c>
      <c r="B16" s="27">
        <f t="shared" si="1"/>
        <v>0</v>
      </c>
      <c r="C16" s="59">
        <v>0</v>
      </c>
      <c r="D16" s="27"/>
      <c r="E16" s="60"/>
      <c r="F16" s="61"/>
      <c r="G16" s="27"/>
      <c r="H16" s="27" t="s">
        <v>40</v>
      </c>
      <c r="J16" s="44">
        <v>7.9999999999999982</v>
      </c>
    </row>
    <row r="17" spans="1:10" s="5" customFormat="1" x14ac:dyDescent="0.2">
      <c r="A17" s="5">
        <f t="shared" si="0"/>
        <v>1712</v>
      </c>
      <c r="B17" s="27">
        <f t="shared" si="1"/>
        <v>0</v>
      </c>
      <c r="C17" s="59">
        <v>0</v>
      </c>
      <c r="D17" s="27"/>
      <c r="E17" s="60"/>
      <c r="F17" s="61"/>
      <c r="G17" s="27"/>
      <c r="H17" s="27" t="s">
        <v>40</v>
      </c>
      <c r="J17" s="46">
        <v>8.1633102038346941</v>
      </c>
    </row>
    <row r="18" spans="1:10" s="5" customFormat="1" x14ac:dyDescent="0.2">
      <c r="A18" s="5">
        <f t="shared" si="0"/>
        <v>1713</v>
      </c>
      <c r="B18" s="27">
        <f t="shared" si="1"/>
        <v>38766</v>
      </c>
      <c r="C18" s="59">
        <f t="shared" si="2"/>
        <v>19383</v>
      </c>
      <c r="D18" s="27"/>
      <c r="E18" s="60"/>
      <c r="F18" s="61"/>
      <c r="G18" s="27"/>
      <c r="H18" s="27">
        <v>2769</v>
      </c>
      <c r="J18" s="46">
        <v>8.3299541855039543</v>
      </c>
    </row>
    <row r="19" spans="1:10" s="5" customFormat="1" x14ac:dyDescent="0.2">
      <c r="A19" s="5">
        <f t="shared" si="0"/>
        <v>1714</v>
      </c>
      <c r="B19" s="27">
        <f t="shared" si="1"/>
        <v>61250</v>
      </c>
      <c r="C19" s="59">
        <f t="shared" si="2"/>
        <v>30625</v>
      </c>
      <c r="D19" s="27"/>
      <c r="E19" s="60"/>
      <c r="F19" s="61"/>
      <c r="G19" s="27"/>
      <c r="H19" s="27">
        <v>4375</v>
      </c>
      <c r="J19" s="44">
        <v>8.4999999999999964</v>
      </c>
    </row>
    <row r="20" spans="1:10" s="5" customFormat="1" x14ac:dyDescent="0.2">
      <c r="A20" s="5">
        <f t="shared" si="0"/>
        <v>1715</v>
      </c>
      <c r="B20" s="27">
        <f t="shared" si="1"/>
        <v>88200</v>
      </c>
      <c r="C20" s="59">
        <f t="shared" si="2"/>
        <v>44100</v>
      </c>
      <c r="D20" s="27"/>
      <c r="E20" s="60"/>
      <c r="F20" s="61"/>
      <c r="G20" s="27"/>
      <c r="H20" s="27">
        <v>6300</v>
      </c>
      <c r="J20" s="46">
        <v>8.3299541855039561</v>
      </c>
    </row>
    <row r="21" spans="1:10" s="5" customFormat="1" x14ac:dyDescent="0.2">
      <c r="A21" s="5">
        <f t="shared" si="0"/>
        <v>1716</v>
      </c>
      <c r="B21" s="27">
        <f t="shared" si="1"/>
        <v>77672</v>
      </c>
      <c r="C21" s="59">
        <f t="shared" si="2"/>
        <v>38836</v>
      </c>
      <c r="D21" s="27"/>
      <c r="E21" s="60"/>
      <c r="F21" s="61"/>
      <c r="G21" s="27"/>
      <c r="H21" s="27">
        <v>5548</v>
      </c>
      <c r="J21" s="46">
        <v>8.1633102038346959</v>
      </c>
    </row>
    <row r="22" spans="1:10" s="5" customFormat="1" x14ac:dyDescent="0.2">
      <c r="A22" s="5">
        <f t="shared" si="0"/>
        <v>1717</v>
      </c>
      <c r="B22" s="27">
        <f t="shared" si="1"/>
        <v>91882</v>
      </c>
      <c r="C22" s="59">
        <f t="shared" si="2"/>
        <v>45941</v>
      </c>
      <c r="D22" s="27"/>
      <c r="E22" s="60"/>
      <c r="F22" s="61"/>
      <c r="G22" s="27"/>
      <c r="H22" s="27">
        <v>6563</v>
      </c>
      <c r="J22" s="44">
        <v>8</v>
      </c>
    </row>
    <row r="23" spans="1:10" s="5" customFormat="1" x14ac:dyDescent="0.2">
      <c r="A23" s="5">
        <f t="shared" si="0"/>
        <v>1718</v>
      </c>
      <c r="B23" s="27">
        <f t="shared" si="1"/>
        <v>91882</v>
      </c>
      <c r="C23" s="59">
        <f t="shared" si="2"/>
        <v>45941</v>
      </c>
      <c r="D23" s="27"/>
      <c r="E23" s="60"/>
      <c r="F23" s="61"/>
      <c r="G23" s="27"/>
      <c r="H23" s="27">
        <v>6563</v>
      </c>
      <c r="J23" s="24">
        <v>8</v>
      </c>
    </row>
    <row r="24" spans="1:10" s="5" customFormat="1" x14ac:dyDescent="0.2">
      <c r="A24" s="5">
        <f t="shared" si="0"/>
        <v>1719</v>
      </c>
      <c r="B24" s="27">
        <f t="shared" si="1"/>
        <v>24500</v>
      </c>
      <c r="C24" s="59">
        <f t="shared" si="2"/>
        <v>12250</v>
      </c>
      <c r="D24" s="27"/>
      <c r="E24" s="60"/>
      <c r="F24" s="61"/>
      <c r="G24" s="27"/>
      <c r="H24" s="27">
        <v>1750</v>
      </c>
      <c r="J24" s="24">
        <v>8</v>
      </c>
    </row>
    <row r="25" spans="1:10" s="5" customFormat="1" x14ac:dyDescent="0.2">
      <c r="A25" s="5">
        <f t="shared" si="0"/>
        <v>1720</v>
      </c>
      <c r="B25" s="27">
        <f t="shared" si="1"/>
        <v>770</v>
      </c>
      <c r="C25" s="59">
        <f t="shared" si="2"/>
        <v>385</v>
      </c>
      <c r="D25" s="27"/>
      <c r="E25" s="60"/>
      <c r="F25" s="61"/>
      <c r="G25" s="27"/>
      <c r="H25" s="27">
        <v>55</v>
      </c>
      <c r="J25" s="24">
        <v>8</v>
      </c>
    </row>
    <row r="26" spans="1:10" s="5" customFormat="1" ht="15" x14ac:dyDescent="0.25">
      <c r="A26" s="5">
        <f t="shared" si="0"/>
        <v>1721</v>
      </c>
      <c r="B26" s="27">
        <f t="shared" si="1"/>
        <v>490</v>
      </c>
      <c r="C26" s="59">
        <f t="shared" si="2"/>
        <v>245</v>
      </c>
      <c r="D26" s="27"/>
      <c r="E26" s="60"/>
      <c r="F26" s="61"/>
      <c r="G26" s="27"/>
      <c r="H26" s="27">
        <v>35</v>
      </c>
      <c r="J26" s="45">
        <v>8</v>
      </c>
    </row>
    <row r="27" spans="1:10" s="5" customFormat="1" x14ac:dyDescent="0.2">
      <c r="A27" s="5">
        <f t="shared" si="0"/>
        <v>1722</v>
      </c>
      <c r="B27" s="27">
        <f t="shared" si="1"/>
        <v>49000</v>
      </c>
      <c r="C27" s="59">
        <f t="shared" si="2"/>
        <v>24500</v>
      </c>
      <c r="D27" s="27"/>
      <c r="E27" s="60"/>
      <c r="F27" s="61"/>
      <c r="G27" s="27"/>
      <c r="H27" s="27">
        <v>3500</v>
      </c>
      <c r="J27" s="24">
        <v>8</v>
      </c>
    </row>
    <row r="28" spans="1:10" s="5" customFormat="1" x14ac:dyDescent="0.2">
      <c r="A28" s="5">
        <f t="shared" ref="A28:A52" si="3">+A29-1</f>
        <v>1723</v>
      </c>
      <c r="B28" s="27">
        <f t="shared" si="1"/>
        <v>61250</v>
      </c>
      <c r="C28" s="59">
        <f t="shared" si="2"/>
        <v>30625</v>
      </c>
      <c r="D28" s="27"/>
      <c r="E28" s="60"/>
      <c r="F28" s="61"/>
      <c r="G28" s="27"/>
      <c r="H28" s="27">
        <v>4375</v>
      </c>
      <c r="J28" s="24">
        <v>8</v>
      </c>
    </row>
    <row r="29" spans="1:10" s="5" customFormat="1" x14ac:dyDescent="0.2">
      <c r="A29" s="5">
        <f t="shared" si="3"/>
        <v>1724</v>
      </c>
      <c r="B29" s="27">
        <f t="shared" si="1"/>
        <v>49000</v>
      </c>
      <c r="C29" s="59">
        <f t="shared" si="2"/>
        <v>24500</v>
      </c>
      <c r="D29" s="27"/>
      <c r="E29" s="60"/>
      <c r="F29" s="61"/>
      <c r="G29" s="27"/>
      <c r="H29" s="27">
        <v>3500</v>
      </c>
      <c r="J29" s="24">
        <v>8</v>
      </c>
    </row>
    <row r="30" spans="1:10" s="5" customFormat="1" x14ac:dyDescent="0.2">
      <c r="A30" s="5">
        <f t="shared" si="3"/>
        <v>1725</v>
      </c>
      <c r="B30" s="27">
        <f t="shared" si="1"/>
        <v>98000</v>
      </c>
      <c r="C30" s="59">
        <f t="shared" si="2"/>
        <v>49000</v>
      </c>
      <c r="D30" s="27"/>
      <c r="E30" s="60"/>
      <c r="F30" s="61"/>
      <c r="G30" s="27"/>
      <c r="H30" s="27">
        <v>7000</v>
      </c>
      <c r="J30" s="24">
        <v>8</v>
      </c>
    </row>
    <row r="31" spans="1:10" s="5" customFormat="1" x14ac:dyDescent="0.2">
      <c r="A31" s="5">
        <f t="shared" si="3"/>
        <v>1726</v>
      </c>
      <c r="B31" s="27">
        <f t="shared" si="1"/>
        <v>0</v>
      </c>
      <c r="C31" s="59">
        <v>0</v>
      </c>
      <c r="D31" s="27"/>
      <c r="E31" s="60"/>
      <c r="F31" s="61"/>
      <c r="G31" s="27"/>
      <c r="H31" s="27" t="s">
        <v>40</v>
      </c>
      <c r="J31" s="24">
        <v>8</v>
      </c>
    </row>
    <row r="32" spans="1:10" s="5" customFormat="1" ht="15" x14ac:dyDescent="0.25">
      <c r="A32" s="5">
        <f t="shared" si="3"/>
        <v>1727</v>
      </c>
      <c r="B32" s="27">
        <f t="shared" si="1"/>
        <v>0</v>
      </c>
      <c r="C32" s="59">
        <v>0</v>
      </c>
      <c r="D32" s="27"/>
      <c r="E32" s="60"/>
      <c r="F32" s="61"/>
      <c r="G32" s="27"/>
      <c r="H32" s="27" t="s">
        <v>40</v>
      </c>
      <c r="J32" s="45">
        <v>8</v>
      </c>
    </row>
    <row r="33" spans="1:10" s="5" customFormat="1" x14ac:dyDescent="0.2">
      <c r="A33" s="5">
        <f t="shared" si="3"/>
        <v>1728</v>
      </c>
      <c r="B33" s="27">
        <f t="shared" si="1"/>
        <v>51450</v>
      </c>
      <c r="C33" s="59">
        <f t="shared" si="2"/>
        <v>25725</v>
      </c>
      <c r="D33" s="27"/>
      <c r="E33" s="60"/>
      <c r="F33" s="61"/>
      <c r="G33" s="27"/>
      <c r="H33" s="27">
        <v>3675</v>
      </c>
      <c r="J33" s="24">
        <v>8</v>
      </c>
    </row>
    <row r="34" spans="1:10" s="5" customFormat="1" x14ac:dyDescent="0.2">
      <c r="A34" s="5">
        <f t="shared" si="3"/>
        <v>1729</v>
      </c>
      <c r="B34" s="27">
        <f t="shared" si="1"/>
        <v>77700</v>
      </c>
      <c r="C34" s="59">
        <f t="shared" si="2"/>
        <v>38850</v>
      </c>
      <c r="D34" s="27"/>
      <c r="E34" s="60"/>
      <c r="F34" s="61"/>
      <c r="G34" s="27"/>
      <c r="H34" s="27">
        <v>5550</v>
      </c>
      <c r="J34" s="44">
        <v>7.7368421052631584</v>
      </c>
    </row>
    <row r="35" spans="1:10" s="5" customFormat="1" x14ac:dyDescent="0.2">
      <c r="A35" s="5">
        <f t="shared" si="3"/>
        <v>1730</v>
      </c>
      <c r="B35" s="27">
        <f t="shared" si="1"/>
        <v>38850</v>
      </c>
      <c r="C35" s="59">
        <f t="shared" si="2"/>
        <v>19425</v>
      </c>
      <c r="D35" s="27"/>
      <c r="E35" s="60"/>
      <c r="F35" s="61"/>
      <c r="G35" s="27"/>
      <c r="H35" s="27">
        <v>2775</v>
      </c>
      <c r="J35" s="24">
        <v>8</v>
      </c>
    </row>
    <row r="36" spans="1:10" s="5" customFormat="1" x14ac:dyDescent="0.2">
      <c r="A36" s="5">
        <f t="shared" si="3"/>
        <v>1731</v>
      </c>
      <c r="B36" s="27">
        <f t="shared" si="1"/>
        <v>93240</v>
      </c>
      <c r="C36" s="59">
        <f t="shared" si="2"/>
        <v>46620</v>
      </c>
      <c r="D36" s="27"/>
      <c r="E36" s="60"/>
      <c r="F36" s="61"/>
      <c r="G36" s="27"/>
      <c r="H36" s="27">
        <v>6660</v>
      </c>
      <c r="J36" s="44">
        <v>8</v>
      </c>
    </row>
    <row r="37" spans="1:10" s="5" customFormat="1" x14ac:dyDescent="0.2">
      <c r="A37" s="5">
        <f t="shared" si="3"/>
        <v>1732</v>
      </c>
      <c r="B37" s="27">
        <f t="shared" si="1"/>
        <v>90650</v>
      </c>
      <c r="C37" s="59">
        <f t="shared" si="2"/>
        <v>45325</v>
      </c>
      <c r="D37" s="27"/>
      <c r="E37" s="60"/>
      <c r="F37" s="61"/>
      <c r="G37" s="27"/>
      <c r="H37" s="27">
        <v>6475</v>
      </c>
      <c r="J37" s="24">
        <v>8</v>
      </c>
    </row>
    <row r="38" spans="1:10" s="5" customFormat="1" x14ac:dyDescent="0.2">
      <c r="A38" s="5">
        <f t="shared" si="3"/>
        <v>1733</v>
      </c>
      <c r="B38" s="27">
        <f t="shared" si="1"/>
        <v>142450</v>
      </c>
      <c r="C38" s="59">
        <f t="shared" si="2"/>
        <v>71225</v>
      </c>
      <c r="D38" s="27"/>
      <c r="E38" s="60"/>
      <c r="F38" s="61"/>
      <c r="G38" s="27"/>
      <c r="H38" s="27">
        <v>10175</v>
      </c>
      <c r="J38" s="24">
        <v>8</v>
      </c>
    </row>
    <row r="39" spans="1:10" s="5" customFormat="1" x14ac:dyDescent="0.2">
      <c r="A39" s="5">
        <f t="shared" si="3"/>
        <v>1734</v>
      </c>
      <c r="B39" s="27">
        <f t="shared" si="1"/>
        <v>112000</v>
      </c>
      <c r="C39" s="59">
        <f t="shared" si="2"/>
        <v>56000</v>
      </c>
      <c r="D39" s="27"/>
      <c r="E39" s="60"/>
      <c r="F39" s="61"/>
      <c r="G39" s="27"/>
      <c r="H39" s="27">
        <v>8000</v>
      </c>
      <c r="J39" s="44">
        <v>8</v>
      </c>
    </row>
    <row r="40" spans="1:10" s="5" customFormat="1" x14ac:dyDescent="0.2">
      <c r="A40" s="5">
        <f t="shared" si="3"/>
        <v>1735</v>
      </c>
      <c r="B40" s="27">
        <f t="shared" si="1"/>
        <v>0</v>
      </c>
      <c r="C40" s="59">
        <v>0</v>
      </c>
      <c r="D40" s="27"/>
      <c r="E40" s="60"/>
      <c r="F40" s="61"/>
      <c r="G40" s="27"/>
      <c r="H40" s="27" t="s">
        <v>23</v>
      </c>
      <c r="J40" s="44">
        <v>8</v>
      </c>
    </row>
    <row r="41" spans="1:10" s="5" customFormat="1" x14ac:dyDescent="0.2">
      <c r="A41" s="5">
        <f t="shared" si="3"/>
        <v>1736</v>
      </c>
      <c r="B41" s="27">
        <f t="shared" si="1"/>
        <v>0</v>
      </c>
      <c r="C41" s="59">
        <v>0</v>
      </c>
      <c r="D41" s="27"/>
      <c r="E41" s="60"/>
      <c r="F41" s="61"/>
      <c r="G41" s="27"/>
      <c r="H41" s="27" t="s">
        <v>23</v>
      </c>
      <c r="J41" s="44">
        <v>8</v>
      </c>
    </row>
    <row r="42" spans="1:10" s="5" customFormat="1" x14ac:dyDescent="0.2">
      <c r="A42" s="5">
        <f t="shared" si="3"/>
        <v>1737</v>
      </c>
      <c r="B42" s="27">
        <f t="shared" si="1"/>
        <v>77700</v>
      </c>
      <c r="C42" s="59">
        <f t="shared" si="2"/>
        <v>38850</v>
      </c>
      <c r="D42" s="27"/>
      <c r="E42" s="60"/>
      <c r="F42" s="61"/>
      <c r="G42" s="27"/>
      <c r="H42" s="27">
        <v>5550</v>
      </c>
      <c r="J42" s="24">
        <v>8</v>
      </c>
    </row>
    <row r="43" spans="1:10" s="5" customFormat="1" x14ac:dyDescent="0.2">
      <c r="A43" s="5">
        <f t="shared" si="3"/>
        <v>1738</v>
      </c>
      <c r="B43" s="27">
        <f t="shared" si="1"/>
        <v>0</v>
      </c>
      <c r="C43" s="59">
        <v>0</v>
      </c>
      <c r="D43" s="27"/>
      <c r="E43" s="60"/>
      <c r="F43" s="61"/>
      <c r="G43" s="27"/>
      <c r="H43" s="27" t="s">
        <v>23</v>
      </c>
      <c r="J43" s="24">
        <v>8</v>
      </c>
    </row>
    <row r="44" spans="1:10" s="5" customFormat="1" x14ac:dyDescent="0.2">
      <c r="A44" s="5">
        <f t="shared" si="3"/>
        <v>1739</v>
      </c>
      <c r="B44" s="27">
        <f t="shared" si="1"/>
        <v>0</v>
      </c>
      <c r="C44" s="59">
        <v>0</v>
      </c>
      <c r="D44" s="27"/>
      <c r="E44" s="60"/>
      <c r="F44" s="61"/>
      <c r="G44" s="27"/>
      <c r="H44" s="27" t="s">
        <v>40</v>
      </c>
      <c r="J44" s="24">
        <v>8</v>
      </c>
    </row>
    <row r="45" spans="1:10" s="5" customFormat="1" x14ac:dyDescent="0.2">
      <c r="A45" s="5">
        <f t="shared" si="3"/>
        <v>1740</v>
      </c>
      <c r="B45" s="27">
        <f t="shared" si="1"/>
        <v>0</v>
      </c>
      <c r="C45" s="59">
        <v>0</v>
      </c>
      <c r="D45" s="27"/>
      <c r="E45" s="60"/>
      <c r="F45" s="61"/>
      <c r="G45" s="27"/>
      <c r="H45" s="27" t="s">
        <v>40</v>
      </c>
      <c r="J45" s="44">
        <v>8</v>
      </c>
    </row>
    <row r="46" spans="1:10" s="5" customFormat="1" ht="15" x14ac:dyDescent="0.25">
      <c r="A46" s="5">
        <f t="shared" si="3"/>
        <v>1741</v>
      </c>
      <c r="B46" s="27">
        <f t="shared" si="1"/>
        <v>265482</v>
      </c>
      <c r="C46" s="59">
        <f t="shared" si="2"/>
        <v>132741</v>
      </c>
      <c r="D46" s="27"/>
      <c r="E46" s="60"/>
      <c r="F46" s="61"/>
      <c r="G46" s="27"/>
      <c r="H46" s="27">
        <v>18963</v>
      </c>
      <c r="J46" s="45">
        <v>8</v>
      </c>
    </row>
    <row r="47" spans="1:10" s="5" customFormat="1" x14ac:dyDescent="0.2">
      <c r="A47" s="5">
        <f t="shared" si="3"/>
        <v>1742</v>
      </c>
      <c r="B47" s="27">
        <f t="shared" si="1"/>
        <v>234402</v>
      </c>
      <c r="C47" s="59">
        <f t="shared" si="2"/>
        <v>117201</v>
      </c>
      <c r="D47" s="27"/>
      <c r="E47" s="60"/>
      <c r="F47" s="61"/>
      <c r="G47" s="27"/>
      <c r="H47" s="27">
        <v>16743</v>
      </c>
      <c r="J47" s="24">
        <v>8</v>
      </c>
    </row>
    <row r="48" spans="1:10" s="5" customFormat="1" x14ac:dyDescent="0.2">
      <c r="A48" s="5">
        <f t="shared" si="3"/>
        <v>1743</v>
      </c>
      <c r="B48" s="27">
        <f t="shared" si="1"/>
        <v>142968</v>
      </c>
      <c r="C48" s="59">
        <f t="shared" si="2"/>
        <v>71484</v>
      </c>
      <c r="D48" s="27"/>
      <c r="E48" s="60"/>
      <c r="F48" s="61"/>
      <c r="G48" s="27"/>
      <c r="H48" s="27">
        <v>10212</v>
      </c>
      <c r="J48" s="24">
        <v>8</v>
      </c>
    </row>
    <row r="49" spans="1:10" s="5" customFormat="1" x14ac:dyDescent="0.2">
      <c r="A49" s="5">
        <f t="shared" si="3"/>
        <v>1744</v>
      </c>
      <c r="B49" s="27">
        <f t="shared" si="1"/>
        <v>81592</v>
      </c>
      <c r="C49" s="59">
        <f t="shared" si="2"/>
        <v>40796</v>
      </c>
      <c r="D49" s="27"/>
      <c r="E49" s="60"/>
      <c r="F49" s="61"/>
      <c r="G49" s="27"/>
      <c r="H49" s="27">
        <v>5828</v>
      </c>
      <c r="J49" s="44">
        <v>6.4</v>
      </c>
    </row>
    <row r="50" spans="1:10" s="5" customFormat="1" x14ac:dyDescent="0.2">
      <c r="A50" s="5">
        <f t="shared" si="3"/>
        <v>1745</v>
      </c>
      <c r="B50" s="27">
        <f t="shared" si="1"/>
        <v>140896</v>
      </c>
      <c r="C50" s="59">
        <f t="shared" si="2"/>
        <v>70448</v>
      </c>
      <c r="D50" s="27"/>
      <c r="E50" s="60"/>
      <c r="F50" s="61"/>
      <c r="G50" s="27"/>
      <c r="H50" s="27">
        <v>10064</v>
      </c>
      <c r="J50" s="44">
        <v>5.6000000000000005</v>
      </c>
    </row>
    <row r="51" spans="1:10" s="5" customFormat="1" x14ac:dyDescent="0.2">
      <c r="A51" s="5">
        <f t="shared" si="3"/>
        <v>1746</v>
      </c>
      <c r="B51" s="27">
        <f t="shared" si="1"/>
        <v>244762</v>
      </c>
      <c r="C51" s="59">
        <f t="shared" si="2"/>
        <v>122381</v>
      </c>
      <c r="D51" s="27"/>
      <c r="E51" s="60"/>
      <c r="F51" s="61"/>
      <c r="G51" s="27"/>
      <c r="H51" s="27">
        <v>17483</v>
      </c>
      <c r="J51" s="24">
        <v>6.4</v>
      </c>
    </row>
    <row r="52" spans="1:10" s="5" customFormat="1" x14ac:dyDescent="0.2">
      <c r="A52" s="5">
        <f t="shared" si="3"/>
        <v>1747</v>
      </c>
      <c r="B52" s="27">
        <f t="shared" si="1"/>
        <v>147112</v>
      </c>
      <c r="C52" s="59">
        <f t="shared" si="2"/>
        <v>73556</v>
      </c>
      <c r="D52" s="27"/>
      <c r="E52" s="60"/>
      <c r="F52" s="61"/>
      <c r="G52" s="27"/>
      <c r="H52" s="27">
        <v>10508</v>
      </c>
      <c r="J52" s="24">
        <v>6.4</v>
      </c>
    </row>
    <row r="53" spans="1:10" s="5" customFormat="1" x14ac:dyDescent="0.2">
      <c r="A53" s="5">
        <f>+A54-1</f>
        <v>1748</v>
      </c>
      <c r="B53" s="27">
        <f>+C53*2</f>
        <v>90132</v>
      </c>
      <c r="C53" s="59">
        <f>+H53*7</f>
        <v>45066</v>
      </c>
      <c r="D53" s="27"/>
      <c r="E53" s="60"/>
      <c r="F53" s="61"/>
      <c r="G53" s="27"/>
      <c r="H53" s="27">
        <v>6438</v>
      </c>
      <c r="J53" s="44">
        <v>6.4</v>
      </c>
    </row>
    <row r="54" spans="1:10" x14ac:dyDescent="0.2">
      <c r="A54">
        <v>1749</v>
      </c>
      <c r="B54" s="27">
        <v>55760</v>
      </c>
      <c r="C54" s="27">
        <v>16592</v>
      </c>
      <c r="D54" s="27">
        <v>39168</v>
      </c>
      <c r="E54" s="27"/>
      <c r="F54" s="27"/>
      <c r="G54" s="27"/>
      <c r="H54" s="27">
        <v>2441</v>
      </c>
      <c r="I54" s="24">
        <f>+C54/H54</f>
        <v>6.797214256452274</v>
      </c>
      <c r="J54" s="44">
        <v>6.4</v>
      </c>
    </row>
    <row r="55" spans="1:10" x14ac:dyDescent="0.2">
      <c r="A55">
        <v>1750</v>
      </c>
      <c r="B55" s="27">
        <v>59922</v>
      </c>
      <c r="C55" s="27">
        <v>36498</v>
      </c>
      <c r="D55" s="27">
        <v>23424</v>
      </c>
      <c r="E55" s="27"/>
      <c r="F55" s="27"/>
      <c r="G55" s="27"/>
      <c r="H55" s="27">
        <v>4732</v>
      </c>
      <c r="I55" s="24">
        <f t="shared" ref="I55:I84" si="4">+C55/H55</f>
        <v>7.7130177514792901</v>
      </c>
      <c r="J55" s="44">
        <v>6.4</v>
      </c>
    </row>
    <row r="56" spans="1:10" x14ac:dyDescent="0.2">
      <c r="A56">
        <v>1751</v>
      </c>
      <c r="B56" s="27">
        <v>135457</v>
      </c>
      <c r="C56" s="27">
        <v>72865</v>
      </c>
      <c r="D56" s="27">
        <v>62592</v>
      </c>
      <c r="E56" s="27"/>
      <c r="F56" s="27"/>
      <c r="G56" s="27"/>
      <c r="H56" s="27">
        <v>10035</v>
      </c>
      <c r="I56" s="24">
        <f t="shared" si="4"/>
        <v>7.2610861983059296</v>
      </c>
      <c r="J56" s="44">
        <v>6.4</v>
      </c>
    </row>
    <row r="57" spans="1:10" x14ac:dyDescent="0.2">
      <c r="A57">
        <v>1752</v>
      </c>
      <c r="B57" s="27">
        <v>174436</v>
      </c>
      <c r="C57" s="27">
        <v>112804</v>
      </c>
      <c r="D57" s="27">
        <v>61632</v>
      </c>
      <c r="E57" s="27"/>
      <c r="F57" s="27"/>
      <c r="G57" s="27"/>
      <c r="H57" s="27">
        <v>15300</v>
      </c>
      <c r="I57" s="24">
        <f t="shared" si="4"/>
        <v>7.3728104575163398</v>
      </c>
      <c r="J57" s="44">
        <v>6.4</v>
      </c>
    </row>
    <row r="58" spans="1:10" x14ac:dyDescent="0.2">
      <c r="A58">
        <v>1753</v>
      </c>
      <c r="B58" s="27">
        <v>93863</v>
      </c>
      <c r="C58" s="27">
        <v>69479</v>
      </c>
      <c r="D58" s="27">
        <v>24384</v>
      </c>
      <c r="E58" s="27"/>
      <c r="F58" s="27"/>
      <c r="G58" s="27"/>
      <c r="H58" s="27">
        <v>9361</v>
      </c>
      <c r="I58" s="24">
        <f t="shared" si="4"/>
        <v>7.4221771178292917</v>
      </c>
      <c r="J58" s="44">
        <v>6.3999999999999995</v>
      </c>
    </row>
    <row r="59" spans="1:10" x14ac:dyDescent="0.2">
      <c r="A59">
        <v>1754</v>
      </c>
      <c r="B59" s="27">
        <v>166192</v>
      </c>
      <c r="C59" s="27">
        <v>127269</v>
      </c>
      <c r="D59" s="27">
        <v>38174</v>
      </c>
      <c r="E59" s="27">
        <v>747</v>
      </c>
      <c r="F59" s="27"/>
      <c r="G59" s="27"/>
      <c r="H59" s="27">
        <v>18401</v>
      </c>
      <c r="I59" s="24">
        <f t="shared" si="4"/>
        <v>6.9164175860007608</v>
      </c>
      <c r="J59" s="44">
        <v>6.4</v>
      </c>
    </row>
    <row r="60" spans="1:10" x14ac:dyDescent="0.2">
      <c r="A60">
        <v>1755</v>
      </c>
      <c r="B60" s="27">
        <v>204395</v>
      </c>
      <c r="C60" s="27">
        <v>119352</v>
      </c>
      <c r="D60" s="27">
        <v>75336</v>
      </c>
      <c r="E60" s="27">
        <v>9459</v>
      </c>
      <c r="F60" s="27">
        <v>245</v>
      </c>
      <c r="G60" s="27"/>
      <c r="H60" s="27">
        <v>17663</v>
      </c>
      <c r="I60" s="24">
        <f t="shared" si="4"/>
        <v>6.7571760176640439</v>
      </c>
      <c r="J60" s="24">
        <v>6.3999999999999995</v>
      </c>
    </row>
    <row r="61" spans="1:10" x14ac:dyDescent="0.2">
      <c r="A61">
        <v>1756</v>
      </c>
      <c r="B61" s="27">
        <v>180961</v>
      </c>
      <c r="C61" s="27">
        <v>95465</v>
      </c>
      <c r="D61" s="27">
        <v>70032</v>
      </c>
      <c r="E61" s="27">
        <v>15216</v>
      </c>
      <c r="F61" s="27">
        <v>245</v>
      </c>
      <c r="G61" s="27"/>
      <c r="H61" s="27">
        <v>14248</v>
      </c>
      <c r="I61" s="24">
        <f t="shared" si="4"/>
        <v>6.7002386299831551</v>
      </c>
      <c r="J61" s="24">
        <v>6.4</v>
      </c>
    </row>
    <row r="62" spans="1:10" x14ac:dyDescent="0.2">
      <c r="A62">
        <v>1757</v>
      </c>
      <c r="B62" s="27">
        <v>113067</v>
      </c>
      <c r="C62" s="27">
        <v>51334</v>
      </c>
      <c r="D62" s="27">
        <v>56460</v>
      </c>
      <c r="E62" s="27">
        <v>5042</v>
      </c>
      <c r="F62" s="27">
        <v>172</v>
      </c>
      <c r="G62" s="27"/>
      <c r="H62" s="27">
        <v>7813</v>
      </c>
      <c r="I62" s="24">
        <f t="shared" si="4"/>
        <v>6.5703314987840775</v>
      </c>
      <c r="J62" s="24">
        <v>6.4</v>
      </c>
    </row>
    <row r="63" spans="1:10" ht="15" x14ac:dyDescent="0.25">
      <c r="A63">
        <v>1758</v>
      </c>
      <c r="B63" s="27">
        <v>138773</v>
      </c>
      <c r="C63" s="27">
        <v>78945</v>
      </c>
      <c r="D63" s="27">
        <v>46464</v>
      </c>
      <c r="E63" s="27">
        <v>13359</v>
      </c>
      <c r="F63" s="27"/>
      <c r="G63" s="27"/>
      <c r="H63" s="27">
        <v>12099</v>
      </c>
      <c r="I63" s="24">
        <f t="shared" si="4"/>
        <v>6.5249194148276715</v>
      </c>
      <c r="J63" s="45">
        <v>6.4</v>
      </c>
    </row>
    <row r="64" spans="1:10" x14ac:dyDescent="0.2">
      <c r="A64">
        <v>1759</v>
      </c>
      <c r="B64" s="27">
        <v>127146</v>
      </c>
      <c r="C64" s="27">
        <v>94374</v>
      </c>
      <c r="D64" s="27">
        <v>32454</v>
      </c>
      <c r="E64" s="27">
        <v>316</v>
      </c>
      <c r="F64" s="27"/>
      <c r="G64" s="27"/>
      <c r="H64" s="27">
        <v>14740</v>
      </c>
      <c r="I64" s="24">
        <f t="shared" si="4"/>
        <v>6.4025780189959294</v>
      </c>
      <c r="J64" s="24">
        <v>6.4</v>
      </c>
    </row>
    <row r="65" spans="1:10" x14ac:dyDescent="0.2">
      <c r="A65">
        <v>1760</v>
      </c>
      <c r="B65" s="27">
        <v>136075</v>
      </c>
      <c r="C65" s="27">
        <v>90884</v>
      </c>
      <c r="D65" s="27">
        <v>42012</v>
      </c>
      <c r="E65" s="27">
        <v>2950</v>
      </c>
      <c r="F65" s="27">
        <v>226</v>
      </c>
      <c r="G65" s="27"/>
      <c r="H65" s="27">
        <v>13764</v>
      </c>
      <c r="I65" s="24">
        <f t="shared" si="4"/>
        <v>6.6030223772159253</v>
      </c>
      <c r="J65" s="24">
        <v>6.3999999999999995</v>
      </c>
    </row>
    <row r="66" spans="1:10" x14ac:dyDescent="0.2">
      <c r="A66">
        <v>1761</v>
      </c>
      <c r="B66" s="27">
        <v>114811</v>
      </c>
      <c r="C66" s="27">
        <v>65791</v>
      </c>
      <c r="D66" s="27">
        <v>39053</v>
      </c>
      <c r="E66" s="27">
        <v>9731</v>
      </c>
      <c r="F66" s="27">
        <v>233</v>
      </c>
      <c r="G66" s="27"/>
      <c r="H66" s="27">
        <v>10114</v>
      </c>
      <c r="I66" s="24">
        <f t="shared" si="4"/>
        <v>6.5049436424757765</v>
      </c>
      <c r="J66" s="24">
        <v>6.3999999999999995</v>
      </c>
    </row>
    <row r="67" spans="1:10" x14ac:dyDescent="0.2">
      <c r="A67">
        <v>1762</v>
      </c>
      <c r="B67" s="27">
        <v>100249</v>
      </c>
      <c r="C67" s="27">
        <v>24355</v>
      </c>
      <c r="D67" s="27">
        <v>56571</v>
      </c>
      <c r="E67" s="27">
        <v>19231</v>
      </c>
      <c r="F67" s="27">
        <v>88</v>
      </c>
      <c r="G67" s="27"/>
      <c r="H67" s="27">
        <v>12964</v>
      </c>
      <c r="I67" s="24">
        <f t="shared" si="4"/>
        <v>1.878663992594878</v>
      </c>
      <c r="J67" s="24">
        <v>6.3999999999999995</v>
      </c>
    </row>
    <row r="68" spans="1:10" x14ac:dyDescent="0.2">
      <c r="A68">
        <v>1763</v>
      </c>
      <c r="B68" s="27">
        <v>169125</v>
      </c>
      <c r="C68" s="27">
        <v>94865</v>
      </c>
      <c r="D68" s="27">
        <v>49066</v>
      </c>
      <c r="E68" s="27">
        <v>25136</v>
      </c>
      <c r="F68" s="27">
        <v>56</v>
      </c>
      <c r="G68" s="27"/>
      <c r="H68" s="27">
        <v>14470</v>
      </c>
      <c r="I68" s="24">
        <f t="shared" si="4"/>
        <v>6.5559778852798898</v>
      </c>
      <c r="J68" s="24">
        <v>6.3999999999999995</v>
      </c>
    </row>
    <row r="69" spans="1:10" x14ac:dyDescent="0.2">
      <c r="A69">
        <v>1764</v>
      </c>
      <c r="B69" s="27">
        <v>107556</v>
      </c>
      <c r="C69" s="27">
        <v>48286</v>
      </c>
      <c r="D69" s="27">
        <v>45456</v>
      </c>
      <c r="E69" s="27">
        <v>13810</v>
      </c>
      <c r="F69" s="27"/>
      <c r="G69" s="27"/>
      <c r="H69" s="27">
        <v>6930</v>
      </c>
      <c r="I69" s="24">
        <f t="shared" si="4"/>
        <v>6.9676767676767675</v>
      </c>
      <c r="J69" s="24">
        <v>6.3999999999999995</v>
      </c>
    </row>
    <row r="70" spans="1:10" x14ac:dyDescent="0.2">
      <c r="A70">
        <v>1765</v>
      </c>
      <c r="B70" s="27">
        <v>89389</v>
      </c>
      <c r="C70" s="27">
        <v>21945</v>
      </c>
      <c r="D70" s="27">
        <v>48900</v>
      </c>
      <c r="E70" s="27">
        <v>18538</v>
      </c>
      <c r="F70" s="27"/>
      <c r="G70" s="27"/>
      <c r="H70" s="27">
        <v>2905</v>
      </c>
      <c r="I70" s="24">
        <f t="shared" si="4"/>
        <v>7.5542168674698793</v>
      </c>
      <c r="J70" s="24">
        <v>6.3999999999999995</v>
      </c>
    </row>
    <row r="71" spans="1:10" x14ac:dyDescent="0.2">
      <c r="A71">
        <v>1766</v>
      </c>
      <c r="B71" s="27">
        <v>159047</v>
      </c>
      <c r="C71" s="27">
        <v>110564</v>
      </c>
      <c r="D71" s="27">
        <v>42912</v>
      </c>
      <c r="E71" s="27">
        <v>5567</v>
      </c>
      <c r="F71" s="27"/>
      <c r="G71" s="27"/>
      <c r="H71" s="27">
        <v>16613</v>
      </c>
      <c r="I71" s="24">
        <f t="shared" si="4"/>
        <v>6.6552699693011501</v>
      </c>
      <c r="J71" s="24">
        <v>6.3999999999999995</v>
      </c>
    </row>
    <row r="72" spans="1:10" x14ac:dyDescent="0.2">
      <c r="A72">
        <v>1767</v>
      </c>
      <c r="B72" s="27">
        <v>127441</v>
      </c>
      <c r="C72" s="27">
        <v>79603</v>
      </c>
      <c r="D72" s="27">
        <v>42240</v>
      </c>
      <c r="E72" s="27">
        <v>5591</v>
      </c>
      <c r="F72" s="27"/>
      <c r="G72" s="27"/>
      <c r="H72" s="27">
        <v>11941</v>
      </c>
      <c r="I72" s="24">
        <f t="shared" si="4"/>
        <v>6.6663596013734194</v>
      </c>
      <c r="J72" s="24">
        <v>6.3999999999999995</v>
      </c>
    </row>
    <row r="73" spans="1:10" x14ac:dyDescent="0.2">
      <c r="A73">
        <v>1768</v>
      </c>
      <c r="B73" s="27">
        <v>116045</v>
      </c>
      <c r="C73" s="27">
        <v>71584</v>
      </c>
      <c r="D73" s="27">
        <v>42432</v>
      </c>
      <c r="E73" s="27">
        <v>2025</v>
      </c>
      <c r="F73" s="27"/>
      <c r="G73" s="27"/>
      <c r="H73" s="27">
        <v>10838</v>
      </c>
      <c r="I73" s="24">
        <f t="shared" si="4"/>
        <v>6.6049086547333458</v>
      </c>
      <c r="J73" s="24">
        <v>6.3999999999999995</v>
      </c>
    </row>
    <row r="74" spans="1:10" x14ac:dyDescent="0.2">
      <c r="A74">
        <v>1769</v>
      </c>
      <c r="B74" s="27">
        <v>126002</v>
      </c>
      <c r="C74" s="27">
        <v>81523</v>
      </c>
      <c r="D74" s="27">
        <v>41760</v>
      </c>
      <c r="E74" s="27">
        <v>2720</v>
      </c>
      <c r="F74" s="27"/>
      <c r="G74" s="27"/>
      <c r="H74" s="27">
        <v>12312</v>
      </c>
      <c r="I74" s="24">
        <f t="shared" si="4"/>
        <v>6.6214262508122159</v>
      </c>
      <c r="J74" s="44">
        <v>6.4</v>
      </c>
    </row>
    <row r="75" spans="1:10" x14ac:dyDescent="0.2">
      <c r="A75">
        <v>1770</v>
      </c>
      <c r="B75" s="27">
        <v>131453</v>
      </c>
      <c r="C75" s="27">
        <v>85467</v>
      </c>
      <c r="D75" s="27">
        <v>37004</v>
      </c>
      <c r="E75" s="27">
        <v>8975</v>
      </c>
      <c r="F75" s="27"/>
      <c r="G75" s="27"/>
      <c r="H75" s="27">
        <v>14240</v>
      </c>
      <c r="I75" s="24">
        <f t="shared" si="4"/>
        <v>6.0018960674157302</v>
      </c>
      <c r="J75" s="44">
        <v>5.8666666666666663</v>
      </c>
    </row>
    <row r="76" spans="1:10" x14ac:dyDescent="0.2">
      <c r="A76">
        <v>1771</v>
      </c>
      <c r="B76" s="27">
        <v>120499</v>
      </c>
      <c r="C76" s="27">
        <v>73417</v>
      </c>
      <c r="D76" s="27">
        <v>38126</v>
      </c>
      <c r="E76" s="27">
        <v>8953</v>
      </c>
      <c r="F76" s="27"/>
      <c r="G76" s="27"/>
      <c r="H76" s="27">
        <v>12335</v>
      </c>
      <c r="I76" s="24">
        <f t="shared" si="4"/>
        <v>5.9519254154843937</v>
      </c>
      <c r="J76" s="24">
        <v>5.8666666666666663</v>
      </c>
    </row>
    <row r="77" spans="1:10" x14ac:dyDescent="0.2">
      <c r="A77">
        <v>1772</v>
      </c>
      <c r="B77" s="27">
        <v>152306</v>
      </c>
      <c r="C77" s="27">
        <v>99945</v>
      </c>
      <c r="D77" s="27">
        <v>44396</v>
      </c>
      <c r="E77" s="27">
        <v>7957</v>
      </c>
      <c r="F77" s="27"/>
      <c r="G77" s="27"/>
      <c r="H77" s="27">
        <v>16972</v>
      </c>
      <c r="I77" s="24">
        <f t="shared" si="4"/>
        <v>5.888816874852699</v>
      </c>
      <c r="J77" s="44">
        <v>5.8668354430379734</v>
      </c>
    </row>
    <row r="78" spans="1:10" x14ac:dyDescent="0.2">
      <c r="A78">
        <v>1773</v>
      </c>
      <c r="B78" s="27">
        <v>198498</v>
      </c>
      <c r="C78" s="27">
        <v>141912</v>
      </c>
      <c r="D78" s="27">
        <v>41050</v>
      </c>
      <c r="E78" s="27">
        <v>15527</v>
      </c>
      <c r="F78" s="27"/>
      <c r="G78" s="27"/>
      <c r="H78" s="27">
        <v>28266</v>
      </c>
      <c r="I78" s="24">
        <f t="shared" si="4"/>
        <v>5.0205901082572701</v>
      </c>
      <c r="J78" s="24">
        <v>5.8668711656441719</v>
      </c>
    </row>
    <row r="79" spans="1:10" x14ac:dyDescent="0.2">
      <c r="A79">
        <v>1774</v>
      </c>
      <c r="B79" s="27">
        <v>223778</v>
      </c>
      <c r="C79" s="27">
        <v>171282</v>
      </c>
      <c r="D79" s="27">
        <v>40206</v>
      </c>
      <c r="E79" s="27">
        <v>12280</v>
      </c>
      <c r="F79" s="27"/>
      <c r="G79" s="27"/>
      <c r="H79" s="27">
        <v>33047</v>
      </c>
      <c r="I79" s="24">
        <f t="shared" si="4"/>
        <v>5.1829818137803736</v>
      </c>
      <c r="J79" s="24">
        <v>5.8670588235294119</v>
      </c>
    </row>
    <row r="80" spans="1:10" x14ac:dyDescent="0.2">
      <c r="A80">
        <v>1775</v>
      </c>
      <c r="B80" s="27">
        <v>182858</v>
      </c>
      <c r="C80" s="27">
        <v>140230</v>
      </c>
      <c r="D80" s="27">
        <v>34188</v>
      </c>
      <c r="E80" s="27">
        <v>8430</v>
      </c>
      <c r="F80" s="27"/>
      <c r="G80" s="27"/>
      <c r="H80" s="27">
        <v>28004</v>
      </c>
      <c r="I80" s="24">
        <f t="shared" si="4"/>
        <v>5.007498928724468</v>
      </c>
      <c r="J80" s="44">
        <v>5.8669683257918557</v>
      </c>
    </row>
    <row r="81" spans="1:10" x14ac:dyDescent="0.2">
      <c r="A81">
        <v>1776</v>
      </c>
      <c r="B81" s="27">
        <v>213982</v>
      </c>
      <c r="C81" s="27">
        <v>166841</v>
      </c>
      <c r="D81" s="27">
        <v>39921</v>
      </c>
      <c r="E81" s="27">
        <v>7210</v>
      </c>
      <c r="F81" s="27"/>
      <c r="G81" s="27"/>
      <c r="H81" s="27">
        <v>35857</v>
      </c>
      <c r="I81" s="24">
        <f t="shared" si="4"/>
        <v>4.6529547926485764</v>
      </c>
      <c r="J81" s="44">
        <v>5.8667439165701039</v>
      </c>
    </row>
    <row r="82" spans="1:10" x14ac:dyDescent="0.2">
      <c r="A82">
        <v>1777</v>
      </c>
      <c r="B82" s="27">
        <v>140072</v>
      </c>
      <c r="C82" s="27">
        <v>97429</v>
      </c>
      <c r="D82" s="27">
        <v>40194</v>
      </c>
      <c r="E82" s="27">
        <v>2118</v>
      </c>
      <c r="F82" s="27">
        <v>321</v>
      </c>
      <c r="G82" s="27"/>
      <c r="H82" s="27">
        <v>17824</v>
      </c>
      <c r="I82" s="24">
        <f t="shared" si="4"/>
        <v>5.4661692100538604</v>
      </c>
      <c r="J82" s="44">
        <v>5.8666666666666663</v>
      </c>
    </row>
    <row r="83" spans="1:10" x14ac:dyDescent="0.2">
      <c r="A83">
        <v>1778</v>
      </c>
      <c r="B83" s="27">
        <v>111318</v>
      </c>
      <c r="C83" s="27">
        <v>78193</v>
      </c>
      <c r="D83" s="27">
        <v>29392</v>
      </c>
      <c r="E83" s="27">
        <v>3724</v>
      </c>
      <c r="F83" s="27"/>
      <c r="G83" s="27"/>
      <c r="H83" s="27">
        <v>12987</v>
      </c>
      <c r="I83" s="24">
        <f t="shared" si="4"/>
        <v>6.020867020867021</v>
      </c>
      <c r="J83" s="24">
        <v>5.8669421487603302</v>
      </c>
    </row>
    <row r="84" spans="1:10" x14ac:dyDescent="0.2">
      <c r="A84">
        <v>1779</v>
      </c>
      <c r="B84" s="27">
        <v>214382</v>
      </c>
      <c r="C84" s="27">
        <v>159868</v>
      </c>
      <c r="D84" s="27">
        <v>46112</v>
      </c>
      <c r="E84" s="27">
        <v>6753</v>
      </c>
      <c r="F84" s="27">
        <v>1638</v>
      </c>
      <c r="G84" s="27"/>
      <c r="H84" s="27">
        <v>32074</v>
      </c>
      <c r="I84" s="24">
        <f t="shared" si="4"/>
        <v>4.984348693645944</v>
      </c>
      <c r="J84" s="44">
        <v>5.8666666666666663</v>
      </c>
    </row>
    <row r="85" spans="1:10" x14ac:dyDescent="0.2">
      <c r="A85">
        <v>1780</v>
      </c>
      <c r="B85" s="27">
        <v>153900</v>
      </c>
      <c r="C85" s="27">
        <v>114592</v>
      </c>
      <c r="D85" s="27">
        <v>34727</v>
      </c>
      <c r="E85" s="27">
        <v>3444</v>
      </c>
      <c r="F85" s="27">
        <v>1131</v>
      </c>
      <c r="G85" s="27"/>
      <c r="H85" s="27">
        <v>22566</v>
      </c>
      <c r="J85" s="24">
        <v>5.8666666666666663</v>
      </c>
    </row>
    <row r="86" spans="1:10" x14ac:dyDescent="0.2">
      <c r="A86">
        <v>1781</v>
      </c>
      <c r="B86" s="27">
        <v>147911</v>
      </c>
      <c r="C86" s="27">
        <v>115159</v>
      </c>
      <c r="D86" s="27">
        <v>27878</v>
      </c>
      <c r="E86" s="27">
        <v>3748</v>
      </c>
      <c r="F86" s="27">
        <v>1121</v>
      </c>
      <c r="G86" s="27"/>
      <c r="H86" s="27">
        <v>23401</v>
      </c>
      <c r="J86" s="44">
        <v>5.8662721893491128</v>
      </c>
    </row>
    <row r="87" spans="1:10" ht="15" x14ac:dyDescent="0.25">
      <c r="A87">
        <v>1782</v>
      </c>
      <c r="B87" s="27">
        <v>34283</v>
      </c>
      <c r="C87" s="27">
        <v>25374</v>
      </c>
      <c r="D87" s="27">
        <v>1144</v>
      </c>
      <c r="E87" s="27">
        <v>7765</v>
      </c>
      <c r="F87" s="27"/>
      <c r="G87" s="27"/>
      <c r="H87" s="27">
        <v>4082</v>
      </c>
      <c r="J87" s="45">
        <v>5.8662721893491128</v>
      </c>
    </row>
    <row r="88" spans="1:10" x14ac:dyDescent="0.2">
      <c r="A88">
        <v>1783</v>
      </c>
      <c r="B88" s="27">
        <v>66714</v>
      </c>
      <c r="C88" s="27">
        <v>16639</v>
      </c>
      <c r="D88" s="27">
        <v>29524</v>
      </c>
      <c r="E88" s="27">
        <v>20547</v>
      </c>
      <c r="F88" s="27"/>
      <c r="G88" s="27"/>
      <c r="H88" s="27">
        <v>2759</v>
      </c>
      <c r="J88" s="24">
        <v>5.8666666666666671</v>
      </c>
    </row>
    <row r="89" spans="1:10" x14ac:dyDescent="0.2">
      <c r="A89">
        <v>1784</v>
      </c>
      <c r="B89" s="27">
        <v>30330</v>
      </c>
      <c r="C89" s="27" t="s">
        <v>40</v>
      </c>
      <c r="D89" s="27">
        <v>19690</v>
      </c>
      <c r="E89" s="27">
        <v>10640</v>
      </c>
      <c r="F89" s="27"/>
      <c r="G89" s="27"/>
      <c r="H89" s="27" t="s">
        <v>40</v>
      </c>
      <c r="J89" s="24">
        <v>5.8666666666666671</v>
      </c>
    </row>
    <row r="90" spans="1:10" x14ac:dyDescent="0.2">
      <c r="A90">
        <v>1785</v>
      </c>
      <c r="B90" s="27">
        <v>48097</v>
      </c>
      <c r="C90" s="27">
        <v>590</v>
      </c>
      <c r="D90" s="27">
        <v>32428</v>
      </c>
      <c r="E90" s="27">
        <v>15079</v>
      </c>
      <c r="F90" s="27"/>
      <c r="G90" s="27"/>
      <c r="H90" s="27">
        <v>100</v>
      </c>
      <c r="J90" s="24">
        <v>5.8666666666666671</v>
      </c>
    </row>
    <row r="91" spans="1:10" x14ac:dyDescent="0.2">
      <c r="A91">
        <v>1786</v>
      </c>
      <c r="B91" s="27">
        <v>43398</v>
      </c>
      <c r="C91" s="27" t="s">
        <v>40</v>
      </c>
      <c r="D91" s="27">
        <v>35145</v>
      </c>
      <c r="E91" s="27">
        <v>8253</v>
      </c>
      <c r="F91" s="27"/>
      <c r="G91" s="27"/>
      <c r="H91" s="27" t="s">
        <v>40</v>
      </c>
      <c r="J91" s="44">
        <v>8.8000000000000007</v>
      </c>
    </row>
    <row r="92" spans="1:10" x14ac:dyDescent="0.2">
      <c r="A92">
        <v>1787</v>
      </c>
      <c r="B92" s="27">
        <v>82397</v>
      </c>
      <c r="C92" s="27">
        <v>17078</v>
      </c>
      <c r="D92" s="27">
        <v>45953</v>
      </c>
      <c r="E92" s="27">
        <v>19366</v>
      </c>
      <c r="F92" s="27"/>
      <c r="G92" s="27"/>
      <c r="H92" s="27">
        <v>2686</v>
      </c>
      <c r="J92" s="31">
        <f>+(J91+J93)/2</f>
        <v>7.3352941176470594</v>
      </c>
    </row>
    <row r="93" spans="1:10" x14ac:dyDescent="0.2">
      <c r="A93">
        <v>1788</v>
      </c>
      <c r="B93" s="27">
        <v>144433</v>
      </c>
      <c r="C93" s="27">
        <v>70811</v>
      </c>
      <c r="D93" s="27">
        <v>54340</v>
      </c>
      <c r="E93" s="27">
        <v>17431</v>
      </c>
      <c r="F93" s="27">
        <v>1851</v>
      </c>
      <c r="G93" s="27"/>
      <c r="H93" s="27">
        <v>12040</v>
      </c>
      <c r="J93" s="24">
        <v>5.8705882352941172</v>
      </c>
    </row>
    <row r="94" spans="1:10" x14ac:dyDescent="0.2">
      <c r="A94">
        <v>1789</v>
      </c>
      <c r="B94" s="27">
        <v>74518</v>
      </c>
      <c r="C94" s="27">
        <v>1463</v>
      </c>
      <c r="D94" s="27">
        <v>56661</v>
      </c>
      <c r="E94" s="27">
        <v>12589</v>
      </c>
      <c r="F94" s="27">
        <v>3805</v>
      </c>
      <c r="G94" s="27"/>
      <c r="H94" s="27">
        <v>74</v>
      </c>
      <c r="J94" s="24">
        <v>5.86</v>
      </c>
    </row>
    <row r="95" spans="1:10" x14ac:dyDescent="0.2">
      <c r="A95">
        <v>1790</v>
      </c>
      <c r="B95" s="27">
        <v>78406</v>
      </c>
      <c r="C95" s="27">
        <v>17613</v>
      </c>
      <c r="D95" s="27">
        <v>43296</v>
      </c>
      <c r="E95" s="27">
        <v>12317</v>
      </c>
      <c r="F95" s="27">
        <v>5180</v>
      </c>
      <c r="G95" s="27"/>
      <c r="H95" s="27">
        <v>2762</v>
      </c>
      <c r="J95" s="24">
        <v>5.8714285714285719</v>
      </c>
    </row>
    <row r="96" spans="1:10" x14ac:dyDescent="0.2">
      <c r="A96">
        <v>1791</v>
      </c>
      <c r="B96" s="27">
        <v>144140</v>
      </c>
      <c r="C96" s="27">
        <v>70718</v>
      </c>
      <c r="D96" s="27">
        <v>45408</v>
      </c>
      <c r="E96" s="27">
        <v>18839</v>
      </c>
      <c r="F96" s="27">
        <v>9175</v>
      </c>
      <c r="G96" s="27"/>
      <c r="H96" s="27">
        <v>11937</v>
      </c>
      <c r="J96" s="24">
        <v>5.8510312499999992</v>
      </c>
    </row>
    <row r="97" spans="1:10" x14ac:dyDescent="0.2">
      <c r="A97">
        <v>1792</v>
      </c>
      <c r="B97" s="27">
        <v>58509</v>
      </c>
      <c r="C97" s="27">
        <v>9639</v>
      </c>
      <c r="D97" s="27">
        <v>30811</v>
      </c>
      <c r="E97" s="27">
        <v>11350</v>
      </c>
      <c r="F97" s="27">
        <v>6709</v>
      </c>
      <c r="G97" s="27"/>
      <c r="H97" s="27">
        <v>1613</v>
      </c>
      <c r="J97" s="24">
        <v>5.861538461538462</v>
      </c>
    </row>
    <row r="98" spans="1:10" x14ac:dyDescent="0.2">
      <c r="A98">
        <v>1793</v>
      </c>
      <c r="B98" s="27">
        <v>133287</v>
      </c>
      <c r="C98" s="27">
        <v>56783</v>
      </c>
      <c r="D98" s="27">
        <v>60368</v>
      </c>
      <c r="E98" s="27">
        <v>16136</v>
      </c>
      <c r="F98" s="27"/>
      <c r="G98" s="27"/>
      <c r="H98" s="27">
        <v>9679</v>
      </c>
    </row>
    <row r="100" spans="1:10" x14ac:dyDescent="0.2">
      <c r="B100" t="s">
        <v>41</v>
      </c>
    </row>
    <row r="101" spans="1:10" x14ac:dyDescent="0.2">
      <c r="B101" t="s">
        <v>42</v>
      </c>
    </row>
    <row r="102" spans="1:10" x14ac:dyDescent="0.2">
      <c r="B102" t="s">
        <v>43</v>
      </c>
    </row>
    <row r="103" spans="1:10" x14ac:dyDescent="0.2">
      <c r="B103" t="s">
        <v>44</v>
      </c>
    </row>
    <row r="104" spans="1:10" x14ac:dyDescent="0.2">
      <c r="B104" t="s">
        <v>45</v>
      </c>
    </row>
    <row r="106" spans="1:10" x14ac:dyDescent="0.2">
      <c r="B106" s="7" t="s">
        <v>46</v>
      </c>
      <c r="C106" s="7"/>
      <c r="D106" s="7"/>
      <c r="E106" s="7"/>
    </row>
    <row r="107" spans="1:10" x14ac:dyDescent="0.2">
      <c r="B107" s="8" t="s">
        <v>47</v>
      </c>
      <c r="C107" s="8"/>
      <c r="D107" s="8"/>
      <c r="E107" s="8"/>
      <c r="F107" s="8"/>
    </row>
  </sheetData>
  <phoneticPr fontId="5"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workbookViewId="0">
      <selection activeCell="D2" sqref="A2:D2"/>
    </sheetView>
  </sheetViews>
  <sheetFormatPr defaultRowHeight="12.75" x14ac:dyDescent="0.2"/>
  <sheetData>
    <row r="1" spans="1:4" x14ac:dyDescent="0.2">
      <c r="A1" t="s">
        <v>49</v>
      </c>
    </row>
    <row r="2" spans="1:4" s="5" customFormat="1" x14ac:dyDescent="0.2">
      <c r="A2" s="27" t="s">
        <v>0</v>
      </c>
      <c r="B2" s="27" t="s">
        <v>48</v>
      </c>
      <c r="C2" s="27" t="s">
        <v>230</v>
      </c>
      <c r="D2" s="27"/>
    </row>
    <row r="3" spans="1:4" x14ac:dyDescent="0.2">
      <c r="A3">
        <v>1748</v>
      </c>
      <c r="B3">
        <v>2000</v>
      </c>
      <c r="C3" s="25">
        <f>+B3/3.75</f>
        <v>533.33333333333337</v>
      </c>
    </row>
    <row r="4" spans="1:4" x14ac:dyDescent="0.2">
      <c r="A4">
        <v>1749</v>
      </c>
      <c r="B4">
        <v>1632</v>
      </c>
      <c r="C4" s="25">
        <f t="shared" ref="C4:C48" si="0">+B4/3.75</f>
        <v>435.2</v>
      </c>
    </row>
    <row r="5" spans="1:4" x14ac:dyDescent="0.2">
      <c r="A5">
        <v>1750</v>
      </c>
      <c r="B5">
        <v>976</v>
      </c>
      <c r="C5" s="25">
        <f t="shared" si="0"/>
        <v>260.26666666666665</v>
      </c>
    </row>
    <row r="6" spans="1:4" x14ac:dyDescent="0.2">
      <c r="A6">
        <v>1751</v>
      </c>
      <c r="B6">
        <v>2608</v>
      </c>
      <c r="C6" s="25">
        <f t="shared" si="0"/>
        <v>695.4666666666667</v>
      </c>
    </row>
    <row r="7" spans="1:4" x14ac:dyDescent="0.2">
      <c r="A7">
        <v>1752</v>
      </c>
      <c r="B7">
        <v>2568</v>
      </c>
      <c r="C7" s="25">
        <f t="shared" si="0"/>
        <v>684.8</v>
      </c>
    </row>
    <row r="8" spans="1:4" x14ac:dyDescent="0.2">
      <c r="A8">
        <v>1753</v>
      </c>
      <c r="B8">
        <v>1016</v>
      </c>
      <c r="C8" s="25">
        <f t="shared" si="0"/>
        <v>270.93333333333334</v>
      </c>
    </row>
    <row r="9" spans="1:4" x14ac:dyDescent="0.2">
      <c r="A9">
        <v>1754</v>
      </c>
      <c r="B9">
        <v>1941</v>
      </c>
      <c r="C9" s="25">
        <f t="shared" si="0"/>
        <v>517.6</v>
      </c>
    </row>
    <row r="10" spans="1:4" x14ac:dyDescent="0.2">
      <c r="A10">
        <v>1755</v>
      </c>
      <c r="B10">
        <v>3121</v>
      </c>
      <c r="C10" s="25">
        <f t="shared" si="0"/>
        <v>832.26666666666665</v>
      </c>
    </row>
    <row r="11" spans="1:4" x14ac:dyDescent="0.2">
      <c r="A11">
        <v>1756</v>
      </c>
      <c r="B11">
        <v>2772</v>
      </c>
      <c r="C11" s="25">
        <f t="shared" si="0"/>
        <v>739.2</v>
      </c>
    </row>
    <row r="12" spans="1:4" x14ac:dyDescent="0.2">
      <c r="A12">
        <v>1757</v>
      </c>
      <c r="B12">
        <v>2065</v>
      </c>
      <c r="C12" s="25">
        <f t="shared" si="0"/>
        <v>550.66666666666663</v>
      </c>
    </row>
    <row r="13" spans="1:4" x14ac:dyDescent="0.2">
      <c r="A13">
        <v>1758</v>
      </c>
      <c r="B13">
        <v>1803</v>
      </c>
      <c r="C13" s="25">
        <f t="shared" si="0"/>
        <v>480.8</v>
      </c>
    </row>
    <row r="14" spans="1:4" x14ac:dyDescent="0.2">
      <c r="A14">
        <v>1759</v>
      </c>
      <c r="B14">
        <v>1307</v>
      </c>
      <c r="C14" s="25">
        <f t="shared" si="0"/>
        <v>348.53333333333336</v>
      </c>
    </row>
    <row r="15" spans="1:4" x14ac:dyDescent="0.2">
      <c r="A15">
        <v>1760</v>
      </c>
      <c r="B15">
        <v>1727</v>
      </c>
      <c r="C15" s="25">
        <f t="shared" si="0"/>
        <v>460.53333333333336</v>
      </c>
    </row>
    <row r="16" spans="1:4" x14ac:dyDescent="0.2">
      <c r="A16">
        <v>1761</v>
      </c>
      <c r="B16">
        <v>1361</v>
      </c>
      <c r="C16" s="25">
        <f t="shared" si="0"/>
        <v>362.93333333333334</v>
      </c>
    </row>
    <row r="17" spans="1:3" x14ac:dyDescent="0.2">
      <c r="A17">
        <v>1762</v>
      </c>
      <c r="B17">
        <v>2345</v>
      </c>
      <c r="C17" s="25">
        <f t="shared" si="0"/>
        <v>625.33333333333337</v>
      </c>
    </row>
    <row r="18" spans="1:3" x14ac:dyDescent="0.2">
      <c r="A18">
        <v>1763</v>
      </c>
      <c r="B18">
        <v>1765</v>
      </c>
      <c r="C18" s="25">
        <f t="shared" si="0"/>
        <v>470.66666666666669</v>
      </c>
    </row>
    <row r="19" spans="1:3" x14ac:dyDescent="0.2">
      <c r="A19">
        <v>1764</v>
      </c>
      <c r="B19">
        <v>1812</v>
      </c>
      <c r="C19" s="25">
        <f t="shared" si="0"/>
        <v>483.2</v>
      </c>
    </row>
    <row r="20" spans="1:3" x14ac:dyDescent="0.2">
      <c r="A20">
        <v>1765</v>
      </c>
      <c r="B20">
        <v>1894</v>
      </c>
      <c r="C20" s="25">
        <f t="shared" si="0"/>
        <v>505.06666666666666</v>
      </c>
    </row>
    <row r="21" spans="1:3" x14ac:dyDescent="0.2">
      <c r="A21">
        <v>1766</v>
      </c>
      <c r="B21">
        <v>1712</v>
      </c>
      <c r="C21" s="25">
        <f t="shared" si="0"/>
        <v>456.53333333333336</v>
      </c>
    </row>
    <row r="22" spans="1:3" x14ac:dyDescent="0.2">
      <c r="A22">
        <v>1767</v>
      </c>
      <c r="B22">
        <v>1652</v>
      </c>
      <c r="C22" s="25">
        <f t="shared" si="0"/>
        <v>440.53333333333336</v>
      </c>
    </row>
    <row r="23" spans="1:3" x14ac:dyDescent="0.2">
      <c r="A23">
        <v>1768</v>
      </c>
      <c r="B23">
        <v>1632</v>
      </c>
      <c r="C23" s="25">
        <f t="shared" si="0"/>
        <v>435.2</v>
      </c>
    </row>
    <row r="24" spans="1:3" x14ac:dyDescent="0.2">
      <c r="A24">
        <v>1769</v>
      </c>
      <c r="B24">
        <v>1612</v>
      </c>
      <c r="C24" s="25">
        <f t="shared" si="0"/>
        <v>429.86666666666667</v>
      </c>
    </row>
    <row r="25" spans="1:3" x14ac:dyDescent="0.2">
      <c r="A25">
        <v>1770</v>
      </c>
      <c r="B25">
        <v>1552</v>
      </c>
      <c r="C25" s="25">
        <f t="shared" si="0"/>
        <v>413.86666666666667</v>
      </c>
    </row>
    <row r="26" spans="1:3" x14ac:dyDescent="0.2">
      <c r="A26">
        <v>1771</v>
      </c>
      <c r="B26">
        <v>1612</v>
      </c>
      <c r="C26" s="25">
        <f t="shared" si="0"/>
        <v>429.86666666666667</v>
      </c>
    </row>
    <row r="27" spans="1:3" x14ac:dyDescent="0.2">
      <c r="A27">
        <v>1772</v>
      </c>
      <c r="B27">
        <v>1920</v>
      </c>
      <c r="C27" s="25">
        <f t="shared" si="0"/>
        <v>512</v>
      </c>
    </row>
    <row r="28" spans="1:3" x14ac:dyDescent="0.2">
      <c r="A28">
        <v>1773</v>
      </c>
      <c r="B28">
        <v>1780</v>
      </c>
      <c r="C28" s="25">
        <f t="shared" si="0"/>
        <v>474.66666666666669</v>
      </c>
    </row>
    <row r="29" spans="1:3" x14ac:dyDescent="0.2">
      <c r="A29">
        <v>1774</v>
      </c>
      <c r="B29">
        <v>1792</v>
      </c>
      <c r="C29" s="25">
        <f t="shared" si="0"/>
        <v>477.86666666666667</v>
      </c>
    </row>
    <row r="30" spans="1:3" x14ac:dyDescent="0.2">
      <c r="A30">
        <v>1775</v>
      </c>
      <c r="B30">
        <v>1444</v>
      </c>
      <c r="C30" s="25">
        <f t="shared" si="0"/>
        <v>385.06666666666666</v>
      </c>
    </row>
    <row r="31" spans="1:3" x14ac:dyDescent="0.2">
      <c r="A31">
        <v>1776</v>
      </c>
      <c r="B31">
        <v>1748</v>
      </c>
      <c r="C31" s="25">
        <f t="shared" si="0"/>
        <v>466.13333333333333</v>
      </c>
    </row>
    <row r="32" spans="1:3" x14ac:dyDescent="0.2">
      <c r="A32">
        <v>1777</v>
      </c>
      <c r="B32">
        <v>1708</v>
      </c>
      <c r="C32" s="25">
        <f t="shared" si="0"/>
        <v>455.46666666666664</v>
      </c>
    </row>
    <row r="33" spans="1:3" x14ac:dyDescent="0.2">
      <c r="A33">
        <v>1778</v>
      </c>
      <c r="B33">
        <v>1226</v>
      </c>
      <c r="C33" s="25">
        <f t="shared" si="0"/>
        <v>326.93333333333334</v>
      </c>
    </row>
    <row r="34" spans="1:3" x14ac:dyDescent="0.2">
      <c r="A34">
        <v>1779</v>
      </c>
      <c r="B34">
        <v>2000</v>
      </c>
      <c r="C34" s="25">
        <f t="shared" si="0"/>
        <v>533.33333333333337</v>
      </c>
    </row>
    <row r="35" spans="1:3" x14ac:dyDescent="0.2">
      <c r="A35">
        <v>1780</v>
      </c>
      <c r="B35">
        <v>1393</v>
      </c>
      <c r="C35" s="25">
        <f t="shared" si="0"/>
        <v>371.46666666666664</v>
      </c>
    </row>
    <row r="36" spans="1:3" x14ac:dyDescent="0.2">
      <c r="A36">
        <v>1781</v>
      </c>
      <c r="B36">
        <v>1158</v>
      </c>
      <c r="C36" s="25">
        <f t="shared" si="0"/>
        <v>308.8</v>
      </c>
    </row>
    <row r="37" spans="1:3" x14ac:dyDescent="0.2">
      <c r="A37">
        <v>1782</v>
      </c>
      <c r="B37">
        <v>49</v>
      </c>
      <c r="C37" s="25">
        <f t="shared" si="0"/>
        <v>13.066666666666666</v>
      </c>
    </row>
    <row r="38" spans="1:3" x14ac:dyDescent="0.2">
      <c r="A38">
        <v>1783</v>
      </c>
      <c r="B38">
        <v>1113</v>
      </c>
      <c r="C38" s="25">
        <f t="shared" si="0"/>
        <v>296.8</v>
      </c>
    </row>
    <row r="39" spans="1:3" x14ac:dyDescent="0.2">
      <c r="A39">
        <v>1784</v>
      </c>
      <c r="B39">
        <v>860</v>
      </c>
      <c r="C39" s="25">
        <f t="shared" si="0"/>
        <v>229.33333333333334</v>
      </c>
    </row>
    <row r="40" spans="1:3" x14ac:dyDescent="0.2">
      <c r="A40">
        <v>1785</v>
      </c>
      <c r="B40">
        <v>1404</v>
      </c>
      <c r="C40" s="25">
        <f t="shared" si="0"/>
        <v>374.4</v>
      </c>
    </row>
    <row r="41" spans="1:3" x14ac:dyDescent="0.2">
      <c r="A41">
        <v>1786</v>
      </c>
      <c r="B41">
        <v>1580</v>
      </c>
      <c r="C41" s="25">
        <f t="shared" si="0"/>
        <v>421.33333333333331</v>
      </c>
    </row>
    <row r="42" spans="1:3" x14ac:dyDescent="0.2">
      <c r="A42">
        <v>1787</v>
      </c>
      <c r="B42">
        <v>2010</v>
      </c>
      <c r="C42" s="25">
        <f t="shared" si="0"/>
        <v>536</v>
      </c>
    </row>
    <row r="43" spans="1:3" x14ac:dyDescent="0.2">
      <c r="A43">
        <v>1788</v>
      </c>
      <c r="B43">
        <v>2393</v>
      </c>
      <c r="C43" s="25">
        <f t="shared" si="0"/>
        <v>638.13333333333333</v>
      </c>
    </row>
    <row r="44" spans="1:3" x14ac:dyDescent="0.2">
      <c r="A44">
        <v>1789</v>
      </c>
      <c r="B44">
        <v>2461</v>
      </c>
      <c r="C44" s="25">
        <f t="shared" si="0"/>
        <v>656.26666666666665</v>
      </c>
    </row>
    <row r="45" spans="1:3" x14ac:dyDescent="0.2">
      <c r="A45">
        <v>1790</v>
      </c>
      <c r="B45">
        <v>1880</v>
      </c>
      <c r="C45" s="25">
        <f t="shared" si="0"/>
        <v>501.33333333333331</v>
      </c>
    </row>
    <row r="46" spans="1:3" x14ac:dyDescent="0.2">
      <c r="A46">
        <v>1791</v>
      </c>
      <c r="B46">
        <v>1994</v>
      </c>
      <c r="C46" s="25">
        <f t="shared" si="0"/>
        <v>531.73333333333335</v>
      </c>
    </row>
    <row r="47" spans="1:3" x14ac:dyDescent="0.2">
      <c r="A47">
        <v>1792</v>
      </c>
      <c r="B47">
        <v>1354</v>
      </c>
      <c r="C47" s="25">
        <f t="shared" si="0"/>
        <v>361.06666666666666</v>
      </c>
    </row>
    <row r="48" spans="1:3" x14ac:dyDescent="0.2">
      <c r="A48">
        <v>1793</v>
      </c>
      <c r="B48">
        <v>2655</v>
      </c>
      <c r="C48" s="25">
        <f t="shared" si="0"/>
        <v>708</v>
      </c>
    </row>
  </sheetData>
  <phoneticPr fontId="5"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workbookViewId="0">
      <selection activeCell="A2" sqref="A2:B2"/>
    </sheetView>
  </sheetViews>
  <sheetFormatPr defaultRowHeight="12.75" x14ac:dyDescent="0.2"/>
  <sheetData>
    <row r="1" spans="1:2" x14ac:dyDescent="0.2">
      <c r="A1" t="s">
        <v>50</v>
      </c>
    </row>
    <row r="2" spans="1:2" s="5" customFormat="1" x14ac:dyDescent="0.2">
      <c r="A2" s="27" t="s">
        <v>0</v>
      </c>
      <c r="B2" s="27" t="s">
        <v>48</v>
      </c>
    </row>
    <row r="3" spans="1:2" x14ac:dyDescent="0.2">
      <c r="A3">
        <v>1754</v>
      </c>
      <c r="B3">
        <v>1868</v>
      </c>
    </row>
    <row r="4" spans="1:2" x14ac:dyDescent="0.2">
      <c r="A4">
        <v>1755</v>
      </c>
      <c r="B4">
        <v>28171</v>
      </c>
    </row>
    <row r="5" spans="1:2" x14ac:dyDescent="0.2">
      <c r="A5">
        <v>1756</v>
      </c>
      <c r="B5">
        <v>37058</v>
      </c>
    </row>
    <row r="6" spans="1:2" x14ac:dyDescent="0.2">
      <c r="A6">
        <v>1757</v>
      </c>
      <c r="B6">
        <v>11113</v>
      </c>
    </row>
    <row r="7" spans="1:2" x14ac:dyDescent="0.2">
      <c r="A7">
        <v>1758</v>
      </c>
      <c r="B7">
        <v>29755</v>
      </c>
    </row>
    <row r="8" spans="1:2" x14ac:dyDescent="0.2">
      <c r="A8">
        <v>1759</v>
      </c>
      <c r="B8" t="s">
        <v>40</v>
      </c>
    </row>
    <row r="9" spans="1:2" x14ac:dyDescent="0.2">
      <c r="A9">
        <v>1760</v>
      </c>
      <c r="B9">
        <v>7377</v>
      </c>
    </row>
    <row r="10" spans="1:2" x14ac:dyDescent="0.2">
      <c r="A10">
        <v>1761</v>
      </c>
      <c r="B10">
        <v>15884</v>
      </c>
    </row>
    <row r="11" spans="1:2" x14ac:dyDescent="0.2">
      <c r="A11">
        <v>1762</v>
      </c>
      <c r="B11">
        <v>31413</v>
      </c>
    </row>
    <row r="12" spans="1:2" x14ac:dyDescent="0.2">
      <c r="A12">
        <v>1763</v>
      </c>
      <c r="B12">
        <v>56294</v>
      </c>
    </row>
    <row r="13" spans="1:2" x14ac:dyDescent="0.2">
      <c r="A13">
        <v>1764</v>
      </c>
      <c r="B13">
        <v>33967</v>
      </c>
    </row>
    <row r="14" spans="1:2" x14ac:dyDescent="0.2">
      <c r="A14">
        <v>1765</v>
      </c>
      <c r="B14">
        <v>49451</v>
      </c>
    </row>
    <row r="15" spans="1:2" x14ac:dyDescent="0.2">
      <c r="A15">
        <v>1766</v>
      </c>
      <c r="B15">
        <v>15906</v>
      </c>
    </row>
    <row r="16" spans="1:2" x14ac:dyDescent="0.2">
      <c r="A16">
        <v>1767</v>
      </c>
      <c r="B16">
        <v>15978</v>
      </c>
    </row>
    <row r="17" spans="1:2" x14ac:dyDescent="0.2">
      <c r="A17">
        <v>1768</v>
      </c>
      <c r="B17">
        <v>5787</v>
      </c>
    </row>
    <row r="18" spans="1:2" x14ac:dyDescent="0.2">
      <c r="A18">
        <v>1769</v>
      </c>
      <c r="B18">
        <v>7774</v>
      </c>
    </row>
    <row r="19" spans="1:2" x14ac:dyDescent="0.2">
      <c r="A19">
        <v>1770</v>
      </c>
      <c r="B19">
        <v>27978</v>
      </c>
    </row>
    <row r="20" spans="1:2" x14ac:dyDescent="0.2">
      <c r="A20">
        <v>1771</v>
      </c>
      <c r="B20">
        <v>27910</v>
      </c>
    </row>
    <row r="21" spans="1:2" x14ac:dyDescent="0.2">
      <c r="A21">
        <v>1772</v>
      </c>
      <c r="B21">
        <v>22985</v>
      </c>
    </row>
    <row r="22" spans="1:2" x14ac:dyDescent="0.2">
      <c r="A22">
        <v>1773</v>
      </c>
      <c r="B22">
        <v>23165</v>
      </c>
    </row>
    <row r="23" spans="1:2" x14ac:dyDescent="0.2">
      <c r="A23">
        <v>1774</v>
      </c>
      <c r="B23">
        <v>11953</v>
      </c>
    </row>
    <row r="24" spans="1:2" x14ac:dyDescent="0.2">
      <c r="A24">
        <v>1775</v>
      </c>
      <c r="B24">
        <v>10086</v>
      </c>
    </row>
    <row r="25" spans="1:2" x14ac:dyDescent="0.2">
      <c r="A25">
        <v>1776</v>
      </c>
      <c r="B25">
        <v>10134</v>
      </c>
    </row>
    <row r="26" spans="1:2" x14ac:dyDescent="0.2">
      <c r="A26">
        <v>1777</v>
      </c>
      <c r="B26" t="s">
        <v>40</v>
      </c>
    </row>
    <row r="27" spans="1:2" x14ac:dyDescent="0.2">
      <c r="A27">
        <v>1778</v>
      </c>
      <c r="B27">
        <v>11256</v>
      </c>
    </row>
    <row r="28" spans="1:2" x14ac:dyDescent="0.2">
      <c r="A28">
        <v>1779</v>
      </c>
      <c r="B28">
        <v>10026</v>
      </c>
    </row>
    <row r="29" spans="1:2" x14ac:dyDescent="0.2">
      <c r="A29">
        <v>1780</v>
      </c>
      <c r="B29">
        <v>7039</v>
      </c>
    </row>
    <row r="30" spans="1:2" x14ac:dyDescent="0.2">
      <c r="A30">
        <v>1781</v>
      </c>
      <c r="B30">
        <v>9698</v>
      </c>
    </row>
    <row r="31" spans="1:2" x14ac:dyDescent="0.2">
      <c r="A31">
        <v>1782</v>
      </c>
      <c r="B31">
        <v>14837</v>
      </c>
    </row>
    <row r="32" spans="1:2" x14ac:dyDescent="0.2">
      <c r="A32">
        <v>1783</v>
      </c>
      <c r="B32">
        <v>27633</v>
      </c>
    </row>
    <row r="33" spans="1:2" x14ac:dyDescent="0.2">
      <c r="A33">
        <v>1784</v>
      </c>
      <c r="B33">
        <v>25951</v>
      </c>
    </row>
    <row r="34" spans="1:2" x14ac:dyDescent="0.2">
      <c r="A34">
        <v>1785</v>
      </c>
      <c r="B34">
        <v>36777</v>
      </c>
    </row>
    <row r="35" spans="1:2" x14ac:dyDescent="0.2">
      <c r="A35">
        <v>1786</v>
      </c>
      <c r="B35">
        <v>20129</v>
      </c>
    </row>
    <row r="36" spans="1:2" x14ac:dyDescent="0.2">
      <c r="A36">
        <v>1787</v>
      </c>
      <c r="B36">
        <v>42937</v>
      </c>
    </row>
    <row r="37" spans="1:2" x14ac:dyDescent="0.2">
      <c r="A37">
        <v>1788</v>
      </c>
      <c r="B37">
        <v>32025</v>
      </c>
    </row>
    <row r="38" spans="1:2" x14ac:dyDescent="0.2">
      <c r="A38">
        <v>1789</v>
      </c>
      <c r="B38">
        <v>36475</v>
      </c>
    </row>
    <row r="39" spans="1:2" x14ac:dyDescent="0.2">
      <c r="A39">
        <v>1790</v>
      </c>
      <c r="B39">
        <v>22686</v>
      </c>
    </row>
    <row r="40" spans="1:2" x14ac:dyDescent="0.2">
      <c r="A40">
        <v>1791</v>
      </c>
      <c r="B40">
        <v>42190</v>
      </c>
    </row>
    <row r="41" spans="1:2" x14ac:dyDescent="0.2">
      <c r="A41">
        <v>1792</v>
      </c>
      <c r="B41">
        <v>27682</v>
      </c>
    </row>
    <row r="42" spans="1:2" x14ac:dyDescent="0.2">
      <c r="A42">
        <v>1793</v>
      </c>
      <c r="B42">
        <v>39355</v>
      </c>
    </row>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20</vt:i4>
      </vt:variant>
    </vt:vector>
  </HeadingPairs>
  <TitlesOfParts>
    <vt:vector size="20" baseType="lpstr">
      <vt:lpstr>incomeVOC and total income</vt:lpstr>
      <vt:lpstr>Wissel transfers from the Cape</vt:lpstr>
      <vt:lpstr>Gross receipts from VOC sales</vt:lpstr>
      <vt:lpstr>Meat supplied to the Company</vt:lpstr>
      <vt:lpstr>Company establishment</vt:lpstr>
      <vt:lpstr>Population</vt:lpstr>
      <vt:lpstr>Exports in money value</vt:lpstr>
      <vt:lpstr>Exports of wines</vt:lpstr>
      <vt:lpstr>Export of butter</vt:lpstr>
      <vt:lpstr>Agricultural production</vt:lpstr>
      <vt:lpstr>Consumption of wheat</vt:lpstr>
      <vt:lpstr>Production or wheat</vt:lpstr>
      <vt:lpstr>Yield ratios</vt:lpstr>
      <vt:lpstr>Taxation on wine</vt:lpstr>
      <vt:lpstr>VOC income</vt:lpstr>
      <vt:lpstr>Livestock in possession</vt:lpstr>
      <vt:lpstr>Exports</vt:lpstr>
      <vt:lpstr>ships</vt:lpstr>
      <vt:lpstr>resteconomy</vt:lpstr>
      <vt:lpstr>total economy</vt:lpstr>
    </vt:vector>
  </TitlesOfParts>
  <Company>Stellenbosch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Information Technology</dc:creator>
  <cp:lastModifiedBy>joost111</cp:lastModifiedBy>
  <dcterms:created xsi:type="dcterms:W3CDTF">2007-05-22T09:04:22Z</dcterms:created>
  <dcterms:modified xsi:type="dcterms:W3CDTF">2014-11-12T14:14:02Z</dcterms:modified>
</cp:coreProperties>
</file>